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370" windowHeight="3900" activeTab="0"/>
  </bookViews>
  <sheets>
    <sheet name="cond" sheetId="1" r:id="rId1"/>
    <sheet name="unc1" sheetId="2" r:id="rId2"/>
    <sheet name="unc2" sheetId="3" r:id="rId3"/>
    <sheet name="numb" sheetId="4" r:id="rId4"/>
  </sheets>
  <definedNames>
    <definedName name="Panel11">'cond'!$CW:$DI</definedName>
    <definedName name="Panel23">'unc1'!$A:$N</definedName>
    <definedName name="Panel35">'unc2'!$A:$N</definedName>
    <definedName name="Panel6">'cond'!$AT:$BD</definedName>
  </definedNames>
  <calcPr fullCalcOnLoad="1"/>
</workbook>
</file>

<file path=xl/sharedStrings.xml><?xml version="1.0" encoding="utf-8"?>
<sst xmlns="http://schemas.openxmlformats.org/spreadsheetml/2006/main" count="859" uniqueCount="144">
  <si>
    <t>R.A. Crovelli</t>
  </si>
  <si>
    <t>(Panel 1)</t>
  </si>
  <si>
    <t>(Panel 2)</t>
  </si>
  <si>
    <t>(Panel 3)</t>
  </si>
  <si>
    <t>(Panel 4)</t>
  </si>
  <si>
    <t>(Panel 5)</t>
  </si>
  <si>
    <t>(Panel 6)</t>
  </si>
  <si>
    <t>(Panel 7)</t>
  </si>
  <si>
    <t>(Panel 8)</t>
  </si>
  <si>
    <t>(Panel 9)</t>
  </si>
  <si>
    <t>(Panel 10)</t>
  </si>
  <si>
    <t>(Panel 11)</t>
  </si>
  <si>
    <t>(Panel 12)</t>
  </si>
  <si>
    <t>(Panel 13)</t>
  </si>
  <si>
    <t>(Panel 14)</t>
  </si>
  <si>
    <t>(Panel 15)</t>
  </si>
  <si>
    <t>(Panel 16)</t>
  </si>
  <si>
    <t>(Panel 17)</t>
  </si>
  <si>
    <t>(Panel 18)</t>
  </si>
  <si>
    <t>(Panel 19)</t>
  </si>
  <si>
    <t>(Panel 20)</t>
  </si>
  <si>
    <t>Oil fields:</t>
  </si>
  <si>
    <t>Gas/oil ratio (cfg/bo)</t>
  </si>
  <si>
    <t>NGL/gas ratio (bngl/mmcfg)</t>
  </si>
  <si>
    <t>Oil in Oil Fields (mmbo)</t>
  </si>
  <si>
    <t>NGL in Oil Fields (mmbngl)</t>
  </si>
  <si>
    <t>Total Resources in Oil Fields (mmbo &amp; mmboe &amp; mmbngl)</t>
  </si>
  <si>
    <t>Gas fields:</t>
  </si>
  <si>
    <t>NGL in Gas Fields (mmbngl)</t>
  </si>
  <si>
    <t>Oil in Gas Fields (mmbo)</t>
  </si>
  <si>
    <t>Total Resources in Gas Fields (mmboe &amp; mmbngl &amp; mmbo)</t>
  </si>
  <si>
    <t>No.</t>
  </si>
  <si>
    <t>Fields</t>
  </si>
  <si>
    <t>Minimum</t>
  </si>
  <si>
    <t>Maximum</t>
  </si>
  <si>
    <t>Median</t>
  </si>
  <si>
    <t>Flds</t>
  </si>
  <si>
    <t>Min,F100</t>
  </si>
  <si>
    <t>F95</t>
  </si>
  <si>
    <t>F75</t>
  </si>
  <si>
    <t>Med,F50</t>
  </si>
  <si>
    <t>F25</t>
  </si>
  <si>
    <t>F5</t>
  </si>
  <si>
    <t>Max,F0</t>
  </si>
  <si>
    <t>Mean</t>
  </si>
  <si>
    <t>S.D.</t>
  </si>
  <si>
    <t>Mu</t>
  </si>
  <si>
    <t>Sigma</t>
  </si>
  <si>
    <t>Oil</t>
  </si>
  <si>
    <t>Gas</t>
  </si>
  <si>
    <t>(Panel 21)</t>
  </si>
  <si>
    <t>(Panel 22)</t>
  </si>
  <si>
    <t>Name</t>
  </si>
  <si>
    <t>Charge</t>
  </si>
  <si>
    <t>Rocks</t>
  </si>
  <si>
    <t>Timing</t>
  </si>
  <si>
    <t>Geologic</t>
  </si>
  <si>
    <t>Assessment-Unit Probabilities</t>
  </si>
  <si>
    <t>Offshore</t>
  </si>
  <si>
    <t>Percent Allocation</t>
  </si>
  <si>
    <t>Assessment Unit</t>
  </si>
  <si>
    <t>Access</t>
  </si>
  <si>
    <t>(Panel 23)</t>
  </si>
  <si>
    <t>(Panel 24)</t>
  </si>
  <si>
    <t>(Panel 25)</t>
  </si>
  <si>
    <t>(Panel 26)</t>
  </si>
  <si>
    <t>(Panel 27)</t>
  </si>
  <si>
    <t>(Panel 28)</t>
  </si>
  <si>
    <t>(Panel 29)</t>
  </si>
  <si>
    <t>(Panel 30)</t>
  </si>
  <si>
    <t>(Panel 31)</t>
  </si>
  <si>
    <t>(Panel 32)</t>
  </si>
  <si>
    <t>(Panel 33)</t>
  </si>
  <si>
    <t>(Panel 34)</t>
  </si>
  <si>
    <t>(Panel 35)</t>
  </si>
  <si>
    <t>(Panel 36)</t>
  </si>
  <si>
    <t>(Panel 37)</t>
  </si>
  <si>
    <t>(Panel 38)</t>
  </si>
  <si>
    <t>(Panel 39)</t>
  </si>
  <si>
    <t>(Panel 40)</t>
  </si>
  <si>
    <t>(Panel 41)</t>
  </si>
  <si>
    <t>(Panel 42)</t>
  </si>
  <si>
    <t>(Panel 43)</t>
  </si>
  <si>
    <t>(Panel 44)</t>
  </si>
  <si>
    <t>(Panel 45)</t>
  </si>
  <si>
    <t>(Panel 46)</t>
  </si>
  <si>
    <t>Gas in Gas Fields (bcfg)</t>
  </si>
  <si>
    <t>Gas in Oil Fields (bcfg)</t>
  </si>
  <si>
    <t>Oil/gas ratio (bo/mmcfg)</t>
  </si>
  <si>
    <t>Oil (mmbo) and Gas (bcfg)</t>
  </si>
  <si>
    <t>Probab</t>
  </si>
  <si>
    <t>Parcel</t>
  </si>
  <si>
    <t>E(X)</t>
  </si>
  <si>
    <t>E(X^2)</t>
  </si>
  <si>
    <t>Midpoint</t>
  </si>
  <si>
    <t>Mode</t>
  </si>
  <si>
    <t>GeoAcc</t>
  </si>
  <si>
    <t>ACCESS: Analytic Cell-based Continuous Energy Spreadsheet System</t>
  </si>
  <si>
    <t>(Panel 47)</t>
  </si>
  <si>
    <t>Assessment-Unit Area (acres)</t>
  </si>
  <si>
    <t>Area Per Cell (acres)</t>
  </si>
  <si>
    <t>(Panel 48)</t>
  </si>
  <si>
    <t>(Panel 49)</t>
  </si>
  <si>
    <t>(Panel 50)</t>
  </si>
  <si>
    <t>(Panel 51)</t>
  </si>
  <si>
    <t>(Panel 52)</t>
  </si>
  <si>
    <t>Number of Potential Cells</t>
  </si>
  <si>
    <t>See Panel 47 for input data</t>
  </si>
  <si>
    <t>Total Recovery Per Cell</t>
  </si>
  <si>
    <t>Total Recovery Per Cell (mmbo and bcfg) -- Truncated Shifted Lognormal Distribution</t>
  </si>
  <si>
    <t>Percent Allocation of Undeveloped Resources by Volume to Parcel</t>
  </si>
  <si>
    <t>Percent Allocation of Undeveloped Resources by Volume to Offshore</t>
  </si>
  <si>
    <t>CONDITIONAL ESTIMATES OF UNDEVELOPED RESOURCES IN ASSESSMENT UNIT</t>
  </si>
  <si>
    <t>CONDITIONAL ALLOCATION OF UNDEVELOPED RESOURCES TO PARCEL</t>
  </si>
  <si>
    <t>CONDITIONAL ALLOCATION OF UNDEVELOPED RESOURCES TO OFFSHORE</t>
  </si>
  <si>
    <t>UNCONDITIONAL ESTIMATES OF UNDEVELOPED RESOURCES IN ASSESSMENT UNIT</t>
  </si>
  <si>
    <t>UNCONDITIONAL ALLOCATION OF UNDEVELOPED RESOURCES TO PARCEL</t>
  </si>
  <si>
    <t>UNCONDITIONAL ALLOCATION OF UNDEVELOPED RESOURCES TO OFFSHORE</t>
  </si>
  <si>
    <t>Number of Potential Untested Cells</t>
  </si>
  <si>
    <t>Potential Untested Area (acres)</t>
  </si>
  <si>
    <t>Min</t>
  </si>
  <si>
    <t>Max</t>
  </si>
  <si>
    <t xml:space="preserve"> Percentage (%)</t>
  </si>
  <si>
    <t>Untested</t>
  </si>
  <si>
    <t>Potential/Untested</t>
  </si>
  <si>
    <t>Percentage (%)</t>
  </si>
  <si>
    <t>(Panel 53)</t>
  </si>
  <si>
    <t>(Panel 54)</t>
  </si>
  <si>
    <t>Potential Untested Percentage (%)</t>
  </si>
  <si>
    <t>See Panels 48-54 for calculations</t>
  </si>
  <si>
    <t>Gas/oil ratio (cfg/bo) -- Triangular Distribution</t>
  </si>
  <si>
    <t>NGL/gas ratio (bngl/mmcfg) -- Triangular Distribution</t>
  </si>
  <si>
    <t xml:space="preserve">NGL/gas ratio (bngl/mmcfg) -- Triangular Distribution </t>
  </si>
  <si>
    <t>Oil/gas ratio (bo/mmcfg) -- Triangular Distribution</t>
  </si>
  <si>
    <t>Percent Resources in Oil/Gas Fields -- Triangular Distribution</t>
  </si>
  <si>
    <t>Mod</t>
  </si>
  <si>
    <t>Assessment-Unit Area (acres) -- Triangular Distribution</t>
  </si>
  <si>
    <t>Untested Percentage (%) -- Triangular Distribution</t>
  </si>
  <si>
    <t>Potential/Untested Percentage (%) -- Triangular Distribution</t>
  </si>
  <si>
    <t>Area Per Cell (acres) -- Triangular Distribution</t>
  </si>
  <si>
    <t>Eagle Ford Shale Oil</t>
  </si>
  <si>
    <t>Woodford Shale Gas</t>
  </si>
  <si>
    <t>Texas</t>
  </si>
  <si>
    <t>Oklahoma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</si>
</sst>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6.8515625" style="0" customWidth="1"/>
    <col min="2" max="2" width="8.7109375" style="0" customWidth="1"/>
    <col min="3" max="3" width="5.421875" style="0" customWidth="1"/>
    <col min="4" max="4" width="6.7109375" style="0" customWidth="1"/>
    <col min="5" max="5" width="5.7109375" style="0" customWidth="1"/>
    <col min="6" max="6" width="6.28125" style="0" customWidth="1"/>
    <col min="7" max="7" width="7.7109375" style="0" customWidth="1"/>
    <col min="8" max="8" width="6.8515625" style="0" customWidth="1"/>
    <col min="9" max="9" width="7.7109375" style="0" customWidth="1"/>
    <col min="10" max="10" width="9.57421875" style="0" customWidth="1"/>
    <col min="11" max="11" width="6.00390625" style="0" customWidth="1"/>
    <col min="15" max="15" width="10.00390625" style="0" customWidth="1"/>
    <col min="16" max="16" width="11.00390625" style="0" customWidth="1"/>
    <col min="17" max="17" width="10.57421875" style="0" customWidth="1"/>
    <col min="18" max="18" width="9.57421875" style="0" customWidth="1"/>
    <col min="19" max="19" width="10.57421875" style="0" customWidth="1"/>
    <col min="28" max="28" width="10.57421875" style="0" customWidth="1"/>
    <col min="35" max="35" width="9.57421875" style="0" customWidth="1"/>
    <col min="36" max="36" width="4.28125" style="0" customWidth="1"/>
    <col min="38" max="38" width="8.28125" style="0" customWidth="1"/>
    <col min="39" max="39" width="8.00390625" style="0" customWidth="1"/>
    <col min="40" max="40" width="7.7109375" style="0" customWidth="1"/>
    <col min="41" max="41" width="8.00390625" style="0" customWidth="1"/>
    <col min="42" max="42" width="7.28125" style="0" customWidth="1"/>
    <col min="43" max="43" width="10.28125" style="0" customWidth="1"/>
    <col min="46" max="46" width="9.57421875" style="0" customWidth="1"/>
    <col min="47" max="47" width="4.28125" style="0" customWidth="1"/>
    <col min="48" max="48" width="8.140625" style="0" customWidth="1"/>
    <col min="51" max="51" width="7.7109375" style="0" customWidth="1"/>
    <col min="54" max="54" width="7.421875" style="0" customWidth="1"/>
    <col min="57" max="57" width="9.57421875" style="0" customWidth="1"/>
    <col min="58" max="58" width="4.28125" style="0" customWidth="1"/>
    <col min="59" max="59" width="8.28125" style="0" customWidth="1"/>
    <col min="62" max="62" width="7.7109375" style="0" customWidth="1"/>
    <col min="65" max="65" width="6.8515625" style="0" customWidth="1"/>
    <col min="68" max="68" width="9.57421875" style="0" customWidth="1"/>
    <col min="69" max="69" width="4.28125" style="0" customWidth="1"/>
    <col min="70" max="70" width="8.28125" style="0" customWidth="1"/>
    <col min="73" max="73" width="8.00390625" style="0" customWidth="1"/>
    <col min="76" max="76" width="7.00390625" style="0" customWidth="1"/>
    <col min="79" max="79" width="7.140625" style="0" customWidth="1"/>
    <col min="80" max="80" width="3.8515625" style="0" customWidth="1"/>
    <col min="81" max="81" width="8.140625" style="0" customWidth="1"/>
    <col min="84" max="84" width="7.7109375" style="0" customWidth="1"/>
    <col min="87" max="87" width="6.7109375" style="0" customWidth="1"/>
    <col min="90" max="90" width="7.00390625" style="0" customWidth="1"/>
    <col min="91" max="91" width="4.00390625" style="0" customWidth="1"/>
    <col min="92" max="92" width="8.28125" style="0" customWidth="1"/>
    <col min="95" max="95" width="7.7109375" style="0" customWidth="1"/>
    <col min="98" max="98" width="6.7109375" style="0" customWidth="1"/>
    <col min="101" max="101" width="9.57421875" style="0" customWidth="1"/>
    <col min="102" max="102" width="4.28125" style="0" customWidth="1"/>
    <col min="105" max="106" width="0" style="0" hidden="1" customWidth="1"/>
    <col min="107" max="107" width="8.140625" style="0" customWidth="1"/>
    <col min="110" max="110" width="7.7109375" style="0" customWidth="1"/>
    <col min="113" max="113" width="8.140625" style="0" customWidth="1"/>
    <col min="114" max="114" width="9.57421875" style="0" customWidth="1"/>
    <col min="115" max="115" width="4.28125" style="0" customWidth="1"/>
    <col min="118" max="119" width="0" style="0" hidden="1" customWidth="1"/>
    <col min="120" max="120" width="8.28125" style="0" customWidth="1"/>
    <col min="123" max="123" width="7.7109375" style="0" customWidth="1"/>
    <col min="126" max="126" width="7.140625" style="0" customWidth="1"/>
    <col min="127" max="127" width="9.57421875" style="0" customWidth="1"/>
    <col min="128" max="128" width="4.140625" style="0" customWidth="1"/>
    <col min="131" max="132" width="0" style="0" hidden="1" customWidth="1"/>
    <col min="133" max="133" width="8.140625" style="0" customWidth="1"/>
    <col min="136" max="136" width="7.7109375" style="0" customWidth="1"/>
    <col min="139" max="139" width="7.28125" style="0" customWidth="1"/>
    <col min="140" max="140" width="9.57421875" style="0" customWidth="1"/>
    <col min="141" max="141" width="4.140625" style="0" customWidth="1"/>
    <col min="144" max="145" width="0" style="0" hidden="1" customWidth="1"/>
    <col min="146" max="146" width="8.28125" style="0" customWidth="1"/>
    <col min="149" max="149" width="8.00390625" style="0" customWidth="1"/>
    <col min="152" max="152" width="7.140625" style="0" customWidth="1"/>
    <col min="153" max="153" width="5.8515625" style="0" customWidth="1"/>
    <col min="154" max="154" width="4.00390625" style="0" customWidth="1"/>
    <col min="157" max="158" width="0" style="0" hidden="1" customWidth="1"/>
    <col min="159" max="159" width="8.28125" style="0" customWidth="1"/>
    <col min="162" max="162" width="8.00390625" style="0" customWidth="1"/>
    <col min="165" max="165" width="7.140625" style="0" customWidth="1"/>
    <col min="166" max="166" width="5.8515625" style="0" customWidth="1"/>
    <col min="167" max="167" width="4.00390625" style="0" customWidth="1"/>
    <col min="170" max="171" width="0" style="0" hidden="1" customWidth="1"/>
    <col min="172" max="172" width="8.28125" style="0" customWidth="1"/>
    <col min="175" max="175" width="7.7109375" style="0" customWidth="1"/>
    <col min="178" max="178" width="6.8515625" style="0" customWidth="1"/>
    <col min="179" max="179" width="6.00390625" style="0" customWidth="1"/>
    <col min="180" max="180" width="4.00390625" style="0" customWidth="1"/>
    <col min="181" max="181" width="10.57421875" style="0" customWidth="1"/>
    <col min="182" max="182" width="9.7109375" style="0" customWidth="1"/>
    <col min="183" max="184" width="0" style="0" hidden="1" customWidth="1"/>
    <col min="185" max="185" width="8.7109375" style="0" customWidth="1"/>
    <col min="191" max="191" width="7.8515625" style="0" customWidth="1"/>
    <col min="192" max="192" width="5.8515625" style="0" customWidth="1"/>
    <col min="193" max="193" width="4.00390625" style="0" customWidth="1"/>
    <col min="196" max="197" width="0" style="0" hidden="1" customWidth="1"/>
    <col min="198" max="198" width="8.421875" style="0" customWidth="1"/>
    <col min="201" max="201" width="8.00390625" style="0" customWidth="1"/>
    <col min="204" max="204" width="7.28125" style="0" customWidth="1"/>
    <col min="205" max="205" width="5.8515625" style="0" customWidth="1"/>
    <col min="206" max="206" width="4.00390625" style="0" customWidth="1"/>
    <col min="209" max="210" width="0" style="0" hidden="1" customWidth="1"/>
    <col min="211" max="211" width="8.421875" style="0" customWidth="1"/>
    <col min="214" max="214" width="8.00390625" style="0" customWidth="1"/>
    <col min="217" max="217" width="7.57421875" style="0" customWidth="1"/>
    <col min="218" max="218" width="5.8515625" style="0" customWidth="1"/>
    <col min="219" max="219" width="4.00390625" style="0" customWidth="1"/>
    <col min="220" max="220" width="9.28125" style="0" customWidth="1"/>
    <col min="221" max="221" width="9.421875" style="0" customWidth="1"/>
    <col min="222" max="223" width="0" style="0" hidden="1" customWidth="1"/>
    <col min="224" max="224" width="9.421875" style="0" customWidth="1"/>
    <col min="227" max="227" width="8.140625" style="0" customWidth="1"/>
    <col min="230" max="230" width="7.28125" style="0" customWidth="1"/>
    <col min="231" max="231" width="6.00390625" style="0" customWidth="1"/>
    <col min="232" max="232" width="4.00390625" style="0" customWidth="1"/>
    <col min="233" max="233" width="9.57421875" style="0" customWidth="1"/>
    <col min="234" max="234" width="9.8515625" style="0" customWidth="1"/>
    <col min="235" max="236" width="0" style="0" hidden="1" customWidth="1"/>
    <col min="237" max="237" width="8.57421875" style="0" customWidth="1"/>
    <col min="240" max="240" width="8.00390625" style="0" customWidth="1"/>
    <col min="243" max="243" width="8.00390625" style="0" customWidth="1"/>
    <col min="244" max="244" width="6.00390625" style="0" customWidth="1"/>
    <col min="245" max="245" width="4.00390625" style="0" customWidth="1"/>
    <col min="248" max="249" width="0" style="0" hidden="1" customWidth="1"/>
    <col min="253" max="253" width="7.8515625" style="0" customWidth="1"/>
  </cols>
  <sheetData>
    <row r="1" spans="1:256" ht="12.75">
      <c r="A1" t="s">
        <v>97</v>
      </c>
      <c r="G1" t="s">
        <v>0</v>
      </c>
      <c r="I1" s="2" t="s">
        <v>1</v>
      </c>
      <c r="Q1" s="2" t="s">
        <v>2</v>
      </c>
      <c r="Z1" s="2" t="s">
        <v>3</v>
      </c>
      <c r="AH1" s="2" t="s">
        <v>4</v>
      </c>
      <c r="AI1" s="2"/>
      <c r="AS1" s="2" t="s">
        <v>5</v>
      </c>
      <c r="AT1" s="2"/>
      <c r="BD1" s="2" t="s">
        <v>6</v>
      </c>
      <c r="BE1" s="2"/>
      <c r="BO1" s="2" t="s">
        <v>7</v>
      </c>
      <c r="BP1" s="2"/>
      <c r="BZ1" s="2" t="s">
        <v>8</v>
      </c>
      <c r="CA1" s="1" t="s">
        <v>110</v>
      </c>
      <c r="CB1" s="1"/>
      <c r="CC1" s="1"/>
      <c r="CD1" s="1"/>
      <c r="CE1" s="1"/>
      <c r="CF1" s="1"/>
      <c r="CG1" s="1"/>
      <c r="CH1" s="1"/>
      <c r="CI1" s="1"/>
      <c r="CJ1" s="1"/>
      <c r="CK1" s="2" t="s">
        <v>9</v>
      </c>
      <c r="CL1" s="1" t="s">
        <v>111</v>
      </c>
      <c r="CM1" s="1"/>
      <c r="CN1" s="1"/>
      <c r="CO1" s="1"/>
      <c r="CP1" s="1"/>
      <c r="CQ1" s="1"/>
      <c r="CR1" s="1"/>
      <c r="CS1" s="1"/>
      <c r="CT1" s="1"/>
      <c r="CU1" s="1"/>
      <c r="CV1" s="2" t="s">
        <v>10</v>
      </c>
      <c r="CW1" s="1" t="s">
        <v>112</v>
      </c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2" t="s">
        <v>11</v>
      </c>
      <c r="DJ1" s="1" t="s">
        <v>112</v>
      </c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2" t="s">
        <v>12</v>
      </c>
      <c r="DW1" s="1" t="s">
        <v>112</v>
      </c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2" t="s">
        <v>13</v>
      </c>
      <c r="EJ1" s="1" t="s">
        <v>112</v>
      </c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2" t="s">
        <v>14</v>
      </c>
      <c r="EW1" s="1" t="s">
        <v>113</v>
      </c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2" t="s">
        <v>15</v>
      </c>
      <c r="FJ1" s="1" t="s">
        <v>113</v>
      </c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2" t="s">
        <v>16</v>
      </c>
      <c r="FW1" s="1" t="s">
        <v>113</v>
      </c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2" t="s">
        <v>17</v>
      </c>
      <c r="GJ1" s="1" t="s">
        <v>113</v>
      </c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2" t="s">
        <v>18</v>
      </c>
      <c r="GW1" s="1" t="s">
        <v>114</v>
      </c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2" t="s">
        <v>19</v>
      </c>
      <c r="HJ1" s="1" t="s">
        <v>114</v>
      </c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2" t="s">
        <v>20</v>
      </c>
      <c r="HW1" s="1" t="s">
        <v>114</v>
      </c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2" t="s">
        <v>50</v>
      </c>
      <c r="IJ1" s="1" t="s">
        <v>114</v>
      </c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2" t="s">
        <v>51</v>
      </c>
    </row>
    <row r="2" spans="15:256" ht="12.75">
      <c r="O2" s="7" t="s">
        <v>108</v>
      </c>
      <c r="P2" s="7"/>
      <c r="Q2" s="7"/>
      <c r="S2" t="s">
        <v>21</v>
      </c>
      <c r="T2" s="1" t="s">
        <v>22</v>
      </c>
      <c r="U2" s="1"/>
      <c r="V2" s="1"/>
      <c r="W2" s="1" t="s">
        <v>23</v>
      </c>
      <c r="X2" s="1"/>
      <c r="Y2" s="1"/>
      <c r="AC2" s="1" t="s">
        <v>59</v>
      </c>
      <c r="AD2" s="1"/>
      <c r="AE2" s="1"/>
      <c r="AF2" s="1"/>
      <c r="AG2" s="1"/>
      <c r="AH2" s="1"/>
      <c r="BE2" t="s">
        <v>21</v>
      </c>
      <c r="BG2" s="1" t="s">
        <v>130</v>
      </c>
      <c r="BH2" s="1"/>
      <c r="BI2" s="1"/>
      <c r="BJ2" s="1"/>
      <c r="BK2" s="1"/>
      <c r="BL2" s="1"/>
      <c r="BM2" s="1"/>
      <c r="BN2" s="1"/>
      <c r="BO2" s="1"/>
      <c r="BP2" t="s">
        <v>21</v>
      </c>
      <c r="BR2" s="7" t="s">
        <v>132</v>
      </c>
      <c r="BS2" s="7"/>
      <c r="BT2" s="7"/>
      <c r="BU2" s="7"/>
      <c r="BV2" s="7"/>
      <c r="BW2" s="7"/>
      <c r="BX2" s="7"/>
      <c r="BY2" s="7"/>
      <c r="BZ2" s="7"/>
      <c r="CN2" s="1"/>
      <c r="CO2" s="1"/>
      <c r="CP2" s="1"/>
      <c r="CQ2" s="1"/>
      <c r="CR2" s="1"/>
      <c r="CS2" s="1"/>
      <c r="CT2" s="1"/>
      <c r="CU2" s="1"/>
      <c r="CV2" s="1"/>
      <c r="CY2" s="1" t="s">
        <v>24</v>
      </c>
      <c r="CZ2" s="1"/>
      <c r="DA2" s="1"/>
      <c r="DB2" s="1"/>
      <c r="DC2" s="1"/>
      <c r="DD2" s="1"/>
      <c r="DE2" s="1"/>
      <c r="DF2" s="1"/>
      <c r="DG2" s="1"/>
      <c r="DH2" s="1"/>
      <c r="DI2" s="1"/>
      <c r="DL2" s="1" t="s">
        <v>87</v>
      </c>
      <c r="DM2" s="1"/>
      <c r="DN2" s="1"/>
      <c r="DO2" s="1"/>
      <c r="DP2" s="1"/>
      <c r="DQ2" s="1"/>
      <c r="DR2" s="1"/>
      <c r="DS2" s="1"/>
      <c r="DT2" s="1"/>
      <c r="DU2" s="1"/>
      <c r="DV2" s="1"/>
      <c r="DY2" s="1" t="s">
        <v>25</v>
      </c>
      <c r="DZ2" s="1"/>
      <c r="EA2" s="1"/>
      <c r="EB2" s="1"/>
      <c r="EC2" s="1"/>
      <c r="ED2" s="1"/>
      <c r="EE2" s="1"/>
      <c r="EF2" s="1"/>
      <c r="EG2" s="1"/>
      <c r="EH2" s="1"/>
      <c r="EI2" s="1"/>
      <c r="EL2" s="1" t="s">
        <v>26</v>
      </c>
      <c r="EM2" s="1"/>
      <c r="EN2" s="1"/>
      <c r="EO2" s="1"/>
      <c r="EP2" s="1"/>
      <c r="EQ2" s="1"/>
      <c r="ER2" s="1"/>
      <c r="ES2" s="1"/>
      <c r="ET2" s="1"/>
      <c r="EU2" s="1"/>
      <c r="EV2" s="1"/>
      <c r="EY2" s="1" t="s">
        <v>24</v>
      </c>
      <c r="EZ2" s="1"/>
      <c r="FA2" s="1"/>
      <c r="FB2" s="1"/>
      <c r="FC2" s="1"/>
      <c r="FD2" s="1"/>
      <c r="FE2" s="1"/>
      <c r="FF2" s="1"/>
      <c r="FG2" s="1"/>
      <c r="FH2" s="1"/>
      <c r="FI2" s="1"/>
      <c r="FL2" s="1" t="s">
        <v>87</v>
      </c>
      <c r="FM2" s="1"/>
      <c r="FN2" s="1"/>
      <c r="FO2" s="1"/>
      <c r="FP2" s="1"/>
      <c r="FQ2" s="1"/>
      <c r="FR2" s="1"/>
      <c r="FS2" s="1"/>
      <c r="FT2" s="1"/>
      <c r="FU2" s="1"/>
      <c r="FV2" s="1"/>
      <c r="FY2" s="1" t="s">
        <v>25</v>
      </c>
      <c r="FZ2" s="1"/>
      <c r="GA2" s="1"/>
      <c r="GB2" s="1"/>
      <c r="GC2" s="1"/>
      <c r="GD2" s="1"/>
      <c r="GE2" s="1"/>
      <c r="GF2" s="1"/>
      <c r="GG2" s="1"/>
      <c r="GH2" s="1"/>
      <c r="GI2" s="1"/>
      <c r="GL2" s="1" t="s">
        <v>26</v>
      </c>
      <c r="GM2" s="1"/>
      <c r="GN2" s="1"/>
      <c r="GO2" s="1"/>
      <c r="GP2" s="1"/>
      <c r="GQ2" s="1"/>
      <c r="GR2" s="1"/>
      <c r="GS2" s="1"/>
      <c r="GT2" s="1"/>
      <c r="GU2" s="1"/>
      <c r="GV2" s="1"/>
      <c r="GY2" s="1" t="s">
        <v>24</v>
      </c>
      <c r="GZ2" s="1"/>
      <c r="HA2" s="1"/>
      <c r="HB2" s="1"/>
      <c r="HC2" s="1"/>
      <c r="HD2" s="1"/>
      <c r="HE2" s="1"/>
      <c r="HF2" s="1"/>
      <c r="HG2" s="1"/>
      <c r="HH2" s="1"/>
      <c r="HI2" s="1"/>
      <c r="HL2" s="1" t="s">
        <v>87</v>
      </c>
      <c r="HM2" s="1"/>
      <c r="HN2" s="1"/>
      <c r="HO2" s="1"/>
      <c r="HP2" s="1"/>
      <c r="HQ2" s="1"/>
      <c r="HR2" s="1"/>
      <c r="HS2" s="1"/>
      <c r="HT2" s="1"/>
      <c r="HU2" s="1"/>
      <c r="HV2" s="1"/>
      <c r="HY2" s="1" t="s">
        <v>25</v>
      </c>
      <c r="HZ2" s="1"/>
      <c r="IA2" s="1"/>
      <c r="IB2" s="1"/>
      <c r="IC2" s="1"/>
      <c r="ID2" s="1"/>
      <c r="IE2" s="1"/>
      <c r="IF2" s="1"/>
      <c r="IG2" s="1"/>
      <c r="IH2" s="1"/>
      <c r="II2" s="1"/>
      <c r="IL2" s="1" t="s">
        <v>26</v>
      </c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>
      <c r="A3" s="1" t="s">
        <v>60</v>
      </c>
      <c r="B3" s="1"/>
      <c r="C3" s="1"/>
      <c r="D3" s="6" t="s">
        <v>57</v>
      </c>
      <c r="E3" s="6"/>
      <c r="F3" s="6"/>
      <c r="G3" s="6"/>
      <c r="H3" s="6"/>
      <c r="I3" s="6"/>
      <c r="J3" s="1"/>
      <c r="K3" s="1"/>
      <c r="L3" s="1" t="s">
        <v>106</v>
      </c>
      <c r="M3" s="1"/>
      <c r="N3" s="1"/>
      <c r="O3" s="1" t="s">
        <v>89</v>
      </c>
      <c r="P3" s="1"/>
      <c r="Q3" s="1"/>
      <c r="S3" t="s">
        <v>27</v>
      </c>
      <c r="T3" s="1" t="s">
        <v>23</v>
      </c>
      <c r="U3" s="1"/>
      <c r="V3" s="1"/>
      <c r="W3" s="6" t="s">
        <v>88</v>
      </c>
      <c r="X3" s="6"/>
      <c r="Y3" s="6"/>
      <c r="AC3" s="1" t="s">
        <v>91</v>
      </c>
      <c r="AD3" s="1"/>
      <c r="AE3" s="1"/>
      <c r="AF3" s="6" t="s">
        <v>58</v>
      </c>
      <c r="AG3" s="6"/>
      <c r="AH3" s="6"/>
      <c r="AK3" s="1" t="s">
        <v>118</v>
      </c>
      <c r="AL3" s="1"/>
      <c r="AM3" s="1"/>
      <c r="AN3" s="1"/>
      <c r="AO3" s="1"/>
      <c r="AP3" s="1"/>
      <c r="AQ3" s="1"/>
      <c r="AR3" s="1"/>
      <c r="AS3" s="1"/>
      <c r="AV3" s="1" t="s">
        <v>109</v>
      </c>
      <c r="AW3" s="1"/>
      <c r="AX3" s="1"/>
      <c r="AY3" s="1"/>
      <c r="AZ3" s="1"/>
      <c r="BA3" s="1"/>
      <c r="BB3" s="1"/>
      <c r="BC3" s="1"/>
      <c r="BD3" s="1"/>
      <c r="BE3" t="s">
        <v>27</v>
      </c>
      <c r="BG3" s="1" t="s">
        <v>131</v>
      </c>
      <c r="BH3" s="1"/>
      <c r="BI3" s="1"/>
      <c r="BJ3" s="1"/>
      <c r="BK3" s="1"/>
      <c r="BL3" s="1"/>
      <c r="BM3" s="1"/>
      <c r="BN3" s="1"/>
      <c r="BO3" s="1"/>
      <c r="BP3" t="s">
        <v>27</v>
      </c>
      <c r="BR3" s="6" t="s">
        <v>133</v>
      </c>
      <c r="BS3" s="6"/>
      <c r="BT3" s="6"/>
      <c r="BU3" s="6"/>
      <c r="BV3" s="6"/>
      <c r="BW3" s="6"/>
      <c r="BX3" s="6"/>
      <c r="BY3" s="6"/>
      <c r="BZ3" s="6"/>
      <c r="CC3" s="6" t="s">
        <v>134</v>
      </c>
      <c r="CD3" s="6"/>
      <c r="CE3" s="6"/>
      <c r="CF3" s="6"/>
      <c r="CG3" s="6"/>
      <c r="CH3" s="6"/>
      <c r="CI3" s="6"/>
      <c r="CJ3" s="6"/>
      <c r="CK3" s="6"/>
      <c r="CN3" s="1" t="s">
        <v>134</v>
      </c>
      <c r="CO3" s="1"/>
      <c r="CP3" s="1"/>
      <c r="CQ3" s="1"/>
      <c r="CR3" s="1"/>
      <c r="CS3" s="1"/>
      <c r="CT3" s="1"/>
      <c r="CU3" s="1"/>
      <c r="CV3" s="1"/>
      <c r="CY3" s="1" t="s">
        <v>86</v>
      </c>
      <c r="CZ3" s="1"/>
      <c r="DA3" s="1"/>
      <c r="DB3" s="1"/>
      <c r="DC3" s="1"/>
      <c r="DD3" s="1"/>
      <c r="DE3" s="1"/>
      <c r="DF3" s="1"/>
      <c r="DG3" s="1"/>
      <c r="DH3" s="1"/>
      <c r="DI3" s="1"/>
      <c r="DL3" s="1" t="s">
        <v>28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Y3" s="1" t="s">
        <v>29</v>
      </c>
      <c r="DZ3" s="1"/>
      <c r="EA3" s="1"/>
      <c r="EB3" s="1"/>
      <c r="EC3" s="1"/>
      <c r="ED3" s="1"/>
      <c r="EE3" s="1"/>
      <c r="EF3" s="1"/>
      <c r="EG3" s="1"/>
      <c r="EH3" s="1"/>
      <c r="EI3" s="1"/>
      <c r="EL3" s="1" t="s">
        <v>30</v>
      </c>
      <c r="EM3" s="1"/>
      <c r="EN3" s="1"/>
      <c r="EO3" s="1"/>
      <c r="EP3" s="1"/>
      <c r="EQ3" s="1"/>
      <c r="ER3" s="1"/>
      <c r="ES3" s="1"/>
      <c r="ET3" s="1"/>
      <c r="EU3" s="1"/>
      <c r="EV3" s="1"/>
      <c r="EY3" s="1" t="s">
        <v>86</v>
      </c>
      <c r="EZ3" s="1"/>
      <c r="FA3" s="1"/>
      <c r="FB3" s="1"/>
      <c r="FC3" s="1"/>
      <c r="FD3" s="1"/>
      <c r="FE3" s="1"/>
      <c r="FF3" s="1"/>
      <c r="FG3" s="1"/>
      <c r="FH3" s="1"/>
      <c r="FI3" s="1"/>
      <c r="FL3" s="1" t="s">
        <v>28</v>
      </c>
      <c r="FM3" s="1"/>
      <c r="FN3" s="1"/>
      <c r="FO3" s="1"/>
      <c r="FP3" s="1"/>
      <c r="FQ3" s="1"/>
      <c r="FR3" s="1"/>
      <c r="FS3" s="1"/>
      <c r="FT3" s="1"/>
      <c r="FU3" s="1"/>
      <c r="FV3" s="1"/>
      <c r="FY3" s="1" t="s">
        <v>29</v>
      </c>
      <c r="FZ3" s="1"/>
      <c r="GA3" s="1"/>
      <c r="GB3" s="1"/>
      <c r="GC3" s="1"/>
      <c r="GD3" s="1"/>
      <c r="GE3" s="1"/>
      <c r="GF3" s="1"/>
      <c r="GG3" s="1"/>
      <c r="GH3" s="1"/>
      <c r="GI3" s="1"/>
      <c r="GL3" s="1" t="s">
        <v>30</v>
      </c>
      <c r="GM3" s="1"/>
      <c r="GN3" s="1"/>
      <c r="GO3" s="1"/>
      <c r="GP3" s="1"/>
      <c r="GQ3" s="1"/>
      <c r="GR3" s="1"/>
      <c r="GS3" s="1"/>
      <c r="GT3" s="1"/>
      <c r="GU3" s="1"/>
      <c r="GV3" s="1"/>
      <c r="GY3" s="1" t="s">
        <v>86</v>
      </c>
      <c r="GZ3" s="1"/>
      <c r="HA3" s="1"/>
      <c r="HB3" s="1"/>
      <c r="HC3" s="1"/>
      <c r="HD3" s="1"/>
      <c r="HE3" s="1"/>
      <c r="HF3" s="1"/>
      <c r="HG3" s="1"/>
      <c r="HH3" s="1"/>
      <c r="HI3" s="1"/>
      <c r="HL3" s="1" t="s">
        <v>28</v>
      </c>
      <c r="HM3" s="1"/>
      <c r="HN3" s="1"/>
      <c r="HO3" s="1"/>
      <c r="HP3" s="1"/>
      <c r="HQ3" s="1"/>
      <c r="HR3" s="1"/>
      <c r="HS3" s="1"/>
      <c r="HT3" s="1"/>
      <c r="HU3" s="1"/>
      <c r="HV3" s="1"/>
      <c r="HY3" s="1" t="s">
        <v>29</v>
      </c>
      <c r="HZ3" s="1"/>
      <c r="IA3" s="1"/>
      <c r="IB3" s="1"/>
      <c r="IC3" s="1"/>
      <c r="ID3" s="1"/>
      <c r="IE3" s="1"/>
      <c r="IF3" s="1"/>
      <c r="IG3" s="1"/>
      <c r="IH3" s="1"/>
      <c r="II3" s="1"/>
      <c r="IL3" s="1" t="s">
        <v>30</v>
      </c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" customFormat="1" ht="12.75">
      <c r="A4" s="3" t="s">
        <v>52</v>
      </c>
      <c r="B4" s="3" t="s">
        <v>31</v>
      </c>
      <c r="C4" s="3" t="s">
        <v>32</v>
      </c>
      <c r="D4" s="3" t="s">
        <v>53</v>
      </c>
      <c r="E4" s="3" t="s">
        <v>54</v>
      </c>
      <c r="F4" s="3" t="s">
        <v>55</v>
      </c>
      <c r="G4" s="3" t="s">
        <v>56</v>
      </c>
      <c r="H4" s="3" t="s">
        <v>61</v>
      </c>
      <c r="I4" s="3" t="s">
        <v>96</v>
      </c>
      <c r="J4" s="3" t="s">
        <v>31</v>
      </c>
      <c r="K4" s="3" t="s">
        <v>32</v>
      </c>
      <c r="O4" s="3" t="s">
        <v>33</v>
      </c>
      <c r="P4" s="3" t="s">
        <v>35</v>
      </c>
      <c r="Q4" s="3" t="s">
        <v>34</v>
      </c>
      <c r="R4" s="3" t="s">
        <v>31</v>
      </c>
      <c r="S4" s="3" t="s">
        <v>32</v>
      </c>
      <c r="T4" s="3" t="s">
        <v>33</v>
      </c>
      <c r="U4" s="3" t="s">
        <v>95</v>
      </c>
      <c r="V4" s="3" t="s">
        <v>34</v>
      </c>
      <c r="W4" s="3" t="s">
        <v>33</v>
      </c>
      <c r="X4" s="3" t="s">
        <v>95</v>
      </c>
      <c r="Y4" s="3" t="s">
        <v>34</v>
      </c>
      <c r="AA4" s="3" t="s">
        <v>91</v>
      </c>
      <c r="AB4" s="3" t="s">
        <v>32</v>
      </c>
      <c r="AC4" s="3" t="s">
        <v>33</v>
      </c>
      <c r="AD4" s="3" t="s">
        <v>95</v>
      </c>
      <c r="AE4" s="3" t="s">
        <v>34</v>
      </c>
      <c r="AF4" s="3" t="s">
        <v>33</v>
      </c>
      <c r="AG4" s="3" t="s">
        <v>95</v>
      </c>
      <c r="AH4" s="3" t="s">
        <v>34</v>
      </c>
      <c r="AI4" s="3" t="s">
        <v>31</v>
      </c>
      <c r="AJ4" s="3" t="s">
        <v>36</v>
      </c>
      <c r="AK4" s="3" t="s">
        <v>37</v>
      </c>
      <c r="AQ4" s="3" t="s">
        <v>43</v>
      </c>
      <c r="AR4" s="3" t="s">
        <v>44</v>
      </c>
      <c r="AS4" s="3" t="s">
        <v>45</v>
      </c>
      <c r="AT4" s="3" t="s">
        <v>31</v>
      </c>
      <c r="AU4" s="3" t="s">
        <v>36</v>
      </c>
      <c r="AV4" s="3" t="s">
        <v>37</v>
      </c>
      <c r="AW4" s="3" t="s">
        <v>40</v>
      </c>
      <c r="AX4" s="3" t="s">
        <v>46</v>
      </c>
      <c r="AY4" s="3" t="s">
        <v>47</v>
      </c>
      <c r="AZ4" s="3" t="s">
        <v>92</v>
      </c>
      <c r="BA4" s="3" t="s">
        <v>93</v>
      </c>
      <c r="BB4" s="3" t="s">
        <v>43</v>
      </c>
      <c r="BC4" s="3" t="s">
        <v>44</v>
      </c>
      <c r="BD4" s="3" t="s">
        <v>45</v>
      </c>
      <c r="BE4" s="3" t="s">
        <v>31</v>
      </c>
      <c r="BF4" s="3" t="s">
        <v>36</v>
      </c>
      <c r="BG4" s="3" t="s">
        <v>37</v>
      </c>
      <c r="BH4" s="3" t="s">
        <v>40</v>
      </c>
      <c r="BI4" s="3" t="s">
        <v>94</v>
      </c>
      <c r="BJ4" s="3" t="s">
        <v>95</v>
      </c>
      <c r="BM4" s="3" t="s">
        <v>43</v>
      </c>
      <c r="BN4" s="3" t="s">
        <v>44</v>
      </c>
      <c r="BO4" s="3" t="s">
        <v>45</v>
      </c>
      <c r="BP4" s="3" t="s">
        <v>31</v>
      </c>
      <c r="BQ4" s="3" t="s">
        <v>36</v>
      </c>
      <c r="BR4" s="3" t="s">
        <v>37</v>
      </c>
      <c r="BS4" s="3" t="s">
        <v>40</v>
      </c>
      <c r="BT4" s="3" t="s">
        <v>94</v>
      </c>
      <c r="BU4" s="3" t="s">
        <v>95</v>
      </c>
      <c r="BX4" s="3" t="s">
        <v>43</v>
      </c>
      <c r="BY4" s="3" t="s">
        <v>44</v>
      </c>
      <c r="BZ4" s="3" t="s">
        <v>45</v>
      </c>
      <c r="CA4" s="3" t="s">
        <v>91</v>
      </c>
      <c r="CB4" s="3" t="s">
        <v>36</v>
      </c>
      <c r="CC4" s="3" t="s">
        <v>37</v>
      </c>
      <c r="CD4" s="3" t="s">
        <v>40</v>
      </c>
      <c r="CE4" s="3" t="s">
        <v>94</v>
      </c>
      <c r="CF4" s="3" t="s">
        <v>95</v>
      </c>
      <c r="CI4" s="3" t="s">
        <v>43</v>
      </c>
      <c r="CJ4" s="3" t="s">
        <v>44</v>
      </c>
      <c r="CK4" s="3" t="s">
        <v>45</v>
      </c>
      <c r="CL4" s="3" t="s">
        <v>91</v>
      </c>
      <c r="CM4" s="3" t="s">
        <v>36</v>
      </c>
      <c r="CN4" s="3" t="s">
        <v>37</v>
      </c>
      <c r="CO4" s="3" t="s">
        <v>40</v>
      </c>
      <c r="CP4" s="3" t="s">
        <v>94</v>
      </c>
      <c r="CQ4" s="3" t="s">
        <v>95</v>
      </c>
      <c r="CT4" s="3" t="s">
        <v>43</v>
      </c>
      <c r="CU4" s="3" t="s">
        <v>44</v>
      </c>
      <c r="CV4" s="3" t="s">
        <v>45</v>
      </c>
      <c r="CW4" s="3" t="s">
        <v>31</v>
      </c>
      <c r="CX4" s="3" t="s">
        <v>36</v>
      </c>
      <c r="CY4" s="3" t="s">
        <v>44</v>
      </c>
      <c r="CZ4" s="3" t="s">
        <v>45</v>
      </c>
      <c r="DA4" s="3" t="s">
        <v>46</v>
      </c>
      <c r="DB4" s="3" t="s">
        <v>47</v>
      </c>
      <c r="DC4" s="3" t="s">
        <v>37</v>
      </c>
      <c r="DD4" s="3" t="s">
        <v>38</v>
      </c>
      <c r="DE4" s="3" t="s">
        <v>39</v>
      </c>
      <c r="DF4" s="3" t="s">
        <v>40</v>
      </c>
      <c r="DG4" s="3" t="s">
        <v>41</v>
      </c>
      <c r="DH4" s="3" t="s">
        <v>42</v>
      </c>
      <c r="DI4" s="3" t="s">
        <v>43</v>
      </c>
      <c r="DJ4" s="3" t="s">
        <v>31</v>
      </c>
      <c r="DK4" s="3" t="s">
        <v>36</v>
      </c>
      <c r="DL4" s="3" t="s">
        <v>44</v>
      </c>
      <c r="DM4" s="3" t="s">
        <v>45</v>
      </c>
      <c r="DN4" s="3" t="s">
        <v>46</v>
      </c>
      <c r="DO4" s="3" t="s">
        <v>47</v>
      </c>
      <c r="DP4" s="3" t="s">
        <v>37</v>
      </c>
      <c r="DQ4" s="3" t="s">
        <v>38</v>
      </c>
      <c r="DR4" s="3" t="s">
        <v>39</v>
      </c>
      <c r="DS4" s="3" t="s">
        <v>40</v>
      </c>
      <c r="DT4" s="3" t="s">
        <v>41</v>
      </c>
      <c r="DU4" s="3" t="s">
        <v>42</v>
      </c>
      <c r="DV4" s="3" t="s">
        <v>43</v>
      </c>
      <c r="DW4" s="3" t="s">
        <v>31</v>
      </c>
      <c r="DX4" s="3" t="s">
        <v>36</v>
      </c>
      <c r="DY4" s="3" t="s">
        <v>44</v>
      </c>
      <c r="DZ4" s="3" t="s">
        <v>45</v>
      </c>
      <c r="EA4" s="3" t="s">
        <v>46</v>
      </c>
      <c r="EB4" s="3" t="s">
        <v>47</v>
      </c>
      <c r="EC4" s="3" t="s">
        <v>37</v>
      </c>
      <c r="ED4" s="3" t="s">
        <v>38</v>
      </c>
      <c r="EE4" s="3" t="s">
        <v>39</v>
      </c>
      <c r="EF4" s="3" t="s">
        <v>40</v>
      </c>
      <c r="EG4" s="3" t="s">
        <v>41</v>
      </c>
      <c r="EH4" s="3" t="s">
        <v>42</v>
      </c>
      <c r="EI4" s="3" t="s">
        <v>43</v>
      </c>
      <c r="EJ4" s="3" t="s">
        <v>31</v>
      </c>
      <c r="EK4" s="3" t="s">
        <v>36</v>
      </c>
      <c r="EL4" s="3" t="s">
        <v>44</v>
      </c>
      <c r="EM4" s="3" t="s">
        <v>45</v>
      </c>
      <c r="EN4" s="3" t="s">
        <v>46</v>
      </c>
      <c r="EO4" s="3" t="s">
        <v>47</v>
      </c>
      <c r="EP4" s="3" t="s">
        <v>37</v>
      </c>
      <c r="EQ4" s="3" t="s">
        <v>38</v>
      </c>
      <c r="ER4" s="3" t="s">
        <v>39</v>
      </c>
      <c r="ES4" s="3" t="s">
        <v>40</v>
      </c>
      <c r="ET4" s="3" t="s">
        <v>41</v>
      </c>
      <c r="EU4" s="3" t="s">
        <v>42</v>
      </c>
      <c r="EV4" s="3" t="s">
        <v>43</v>
      </c>
      <c r="EW4" s="4" t="s">
        <v>91</v>
      </c>
      <c r="EX4" s="3" t="s">
        <v>36</v>
      </c>
      <c r="EY4" s="3" t="s">
        <v>44</v>
      </c>
      <c r="EZ4" s="3" t="s">
        <v>45</v>
      </c>
      <c r="FA4" s="3" t="s">
        <v>46</v>
      </c>
      <c r="FB4" s="3" t="s">
        <v>47</v>
      </c>
      <c r="FC4" s="3" t="s">
        <v>37</v>
      </c>
      <c r="FD4" s="3" t="s">
        <v>38</v>
      </c>
      <c r="FE4" s="3" t="s">
        <v>39</v>
      </c>
      <c r="FF4" s="3" t="s">
        <v>40</v>
      </c>
      <c r="FG4" s="3" t="s">
        <v>41</v>
      </c>
      <c r="FH4" s="3" t="s">
        <v>42</v>
      </c>
      <c r="FI4" s="3" t="s">
        <v>43</v>
      </c>
      <c r="FJ4" s="3" t="s">
        <v>91</v>
      </c>
      <c r="FK4" s="3" t="s">
        <v>36</v>
      </c>
      <c r="FL4" s="3" t="s">
        <v>44</v>
      </c>
      <c r="FM4" s="3" t="s">
        <v>45</v>
      </c>
      <c r="FN4" s="3" t="s">
        <v>46</v>
      </c>
      <c r="FO4" s="3" t="s">
        <v>47</v>
      </c>
      <c r="FP4" s="3" t="s">
        <v>37</v>
      </c>
      <c r="FQ4" s="3" t="s">
        <v>38</v>
      </c>
      <c r="FR4" s="3" t="s">
        <v>39</v>
      </c>
      <c r="FS4" s="3" t="s">
        <v>40</v>
      </c>
      <c r="FT4" s="3" t="s">
        <v>41</v>
      </c>
      <c r="FU4" s="3" t="s">
        <v>42</v>
      </c>
      <c r="FV4" s="3" t="s">
        <v>43</v>
      </c>
      <c r="FW4" s="3" t="s">
        <v>91</v>
      </c>
      <c r="FX4" s="3" t="s">
        <v>36</v>
      </c>
      <c r="FY4" s="3" t="s">
        <v>44</v>
      </c>
      <c r="FZ4" s="3" t="s">
        <v>45</v>
      </c>
      <c r="GA4" s="3" t="s">
        <v>46</v>
      </c>
      <c r="GB4" s="3" t="s">
        <v>47</v>
      </c>
      <c r="GC4" s="3" t="s">
        <v>37</v>
      </c>
      <c r="GD4" s="3" t="s">
        <v>38</v>
      </c>
      <c r="GE4" s="3" t="s">
        <v>39</v>
      </c>
      <c r="GF4" s="3" t="s">
        <v>40</v>
      </c>
      <c r="GG4" s="3" t="s">
        <v>41</v>
      </c>
      <c r="GH4" s="3" t="s">
        <v>42</v>
      </c>
      <c r="GI4" s="3" t="s">
        <v>43</v>
      </c>
      <c r="GJ4" s="3" t="s">
        <v>91</v>
      </c>
      <c r="GK4" s="3" t="s">
        <v>36</v>
      </c>
      <c r="GL4" s="3" t="s">
        <v>44</v>
      </c>
      <c r="GM4" s="3" t="s">
        <v>45</v>
      </c>
      <c r="GN4" s="3" t="s">
        <v>46</v>
      </c>
      <c r="GO4" s="3" t="s">
        <v>47</v>
      </c>
      <c r="GP4" s="3" t="s">
        <v>37</v>
      </c>
      <c r="GQ4" s="3" t="s">
        <v>38</v>
      </c>
      <c r="GR4" s="3" t="s">
        <v>39</v>
      </c>
      <c r="GS4" s="3" t="s">
        <v>40</v>
      </c>
      <c r="GT4" s="3" t="s">
        <v>41</v>
      </c>
      <c r="GU4" s="3" t="s">
        <v>42</v>
      </c>
      <c r="GV4" s="3" t="s">
        <v>43</v>
      </c>
      <c r="GW4" s="3" t="s">
        <v>91</v>
      </c>
      <c r="GX4" s="3" t="s">
        <v>36</v>
      </c>
      <c r="GY4" s="3" t="s">
        <v>44</v>
      </c>
      <c r="GZ4" s="3" t="s">
        <v>45</v>
      </c>
      <c r="HA4" s="3" t="s">
        <v>46</v>
      </c>
      <c r="HB4" s="3" t="s">
        <v>47</v>
      </c>
      <c r="HC4" s="3" t="s">
        <v>37</v>
      </c>
      <c r="HD4" s="3" t="s">
        <v>38</v>
      </c>
      <c r="HE4" s="3" t="s">
        <v>39</v>
      </c>
      <c r="HF4" s="3" t="s">
        <v>40</v>
      </c>
      <c r="HG4" s="3" t="s">
        <v>41</v>
      </c>
      <c r="HH4" s="3" t="s">
        <v>42</v>
      </c>
      <c r="HI4" s="3" t="s">
        <v>43</v>
      </c>
      <c r="HJ4" s="3" t="s">
        <v>91</v>
      </c>
      <c r="HK4" s="3" t="s">
        <v>36</v>
      </c>
      <c r="HL4" s="3" t="s">
        <v>44</v>
      </c>
      <c r="HM4" s="3" t="s">
        <v>45</v>
      </c>
      <c r="HN4" s="3" t="s">
        <v>46</v>
      </c>
      <c r="HO4" s="3" t="s">
        <v>47</v>
      </c>
      <c r="HP4" s="3" t="s">
        <v>37</v>
      </c>
      <c r="HQ4" s="3" t="s">
        <v>38</v>
      </c>
      <c r="HR4" s="3" t="s">
        <v>39</v>
      </c>
      <c r="HS4" s="3" t="s">
        <v>40</v>
      </c>
      <c r="HT4" s="3" t="s">
        <v>41</v>
      </c>
      <c r="HU4" s="3" t="s">
        <v>42</v>
      </c>
      <c r="HV4" s="3" t="s">
        <v>43</v>
      </c>
      <c r="HW4" s="3" t="s">
        <v>91</v>
      </c>
      <c r="HX4" s="3" t="s">
        <v>36</v>
      </c>
      <c r="HY4" s="3" t="s">
        <v>44</v>
      </c>
      <c r="HZ4" s="3" t="s">
        <v>45</v>
      </c>
      <c r="IA4" s="3" t="s">
        <v>46</v>
      </c>
      <c r="IB4" s="3" t="s">
        <v>47</v>
      </c>
      <c r="IC4" s="3" t="s">
        <v>37</v>
      </c>
      <c r="ID4" s="3" t="s">
        <v>38</v>
      </c>
      <c r="IE4" s="3" t="s">
        <v>39</v>
      </c>
      <c r="IF4" s="3" t="s">
        <v>40</v>
      </c>
      <c r="IG4" s="3" t="s">
        <v>41</v>
      </c>
      <c r="IH4" s="3" t="s">
        <v>42</v>
      </c>
      <c r="II4" s="3" t="s">
        <v>43</v>
      </c>
      <c r="IJ4" s="3" t="s">
        <v>91</v>
      </c>
      <c r="IK4" s="3" t="s">
        <v>36</v>
      </c>
      <c r="IL4" s="3" t="s">
        <v>44</v>
      </c>
      <c r="IM4" s="3" t="s">
        <v>45</v>
      </c>
      <c r="IN4" s="3" t="s">
        <v>46</v>
      </c>
      <c r="IO4" s="3" t="s">
        <v>47</v>
      </c>
      <c r="IP4" s="3" t="s">
        <v>37</v>
      </c>
      <c r="IQ4" s="3" t="s">
        <v>38</v>
      </c>
      <c r="IR4" s="3" t="s">
        <v>39</v>
      </c>
      <c r="IS4" s="3" t="s">
        <v>40</v>
      </c>
      <c r="IT4" s="3" t="s">
        <v>41</v>
      </c>
      <c r="IU4" s="3" t="s">
        <v>42</v>
      </c>
      <c r="IV4" s="3" t="s">
        <v>43</v>
      </c>
    </row>
    <row r="5" spans="1:256" ht="12.75">
      <c r="A5" t="s">
        <v>140</v>
      </c>
      <c r="B5">
        <v>50490170</v>
      </c>
      <c r="C5" t="s">
        <v>48</v>
      </c>
      <c r="D5">
        <v>1</v>
      </c>
      <c r="E5">
        <v>1</v>
      </c>
      <c r="F5">
        <v>1</v>
      </c>
      <c r="G5">
        <f>D5*E5*F5</f>
        <v>1</v>
      </c>
      <c r="H5">
        <v>1</v>
      </c>
      <c r="I5">
        <f>G5*H5</f>
        <v>1</v>
      </c>
      <c r="J5">
        <f>B5</f>
        <v>50490170</v>
      </c>
      <c r="K5" t="str">
        <f>C5</f>
        <v>Oil</v>
      </c>
      <c r="L5" s="8" t="s">
        <v>107</v>
      </c>
      <c r="M5" s="8"/>
      <c r="N5" s="8"/>
      <c r="O5">
        <v>0.002</v>
      </c>
      <c r="P5">
        <v>0.03</v>
      </c>
      <c r="Q5">
        <v>1</v>
      </c>
      <c r="R5">
        <f>B5</f>
        <v>50490170</v>
      </c>
      <c r="S5" t="str">
        <f>C5</f>
        <v>Oil</v>
      </c>
      <c r="T5">
        <v>1000</v>
      </c>
      <c r="U5">
        <v>2000</v>
      </c>
      <c r="V5">
        <v>3000</v>
      </c>
      <c r="W5">
        <v>10</v>
      </c>
      <c r="X5">
        <v>20</v>
      </c>
      <c r="Y5">
        <v>30</v>
      </c>
      <c r="AA5" t="s">
        <v>142</v>
      </c>
      <c r="AB5" t="str">
        <f>C5</f>
        <v>Oil</v>
      </c>
      <c r="AC5">
        <v>58.88</v>
      </c>
      <c r="AD5">
        <v>58.88</v>
      </c>
      <c r="AE5">
        <v>58.88</v>
      </c>
      <c r="AF5">
        <v>0</v>
      </c>
      <c r="AG5">
        <v>0</v>
      </c>
      <c r="AH5">
        <v>0</v>
      </c>
      <c r="AI5">
        <f>B5</f>
        <v>50490170</v>
      </c>
      <c r="AJ5" t="str">
        <f>C5</f>
        <v>Oil</v>
      </c>
      <c r="AK5">
        <f>numb!CE5</f>
        <v>232</v>
      </c>
      <c r="AL5" s="8" t="s">
        <v>129</v>
      </c>
      <c r="AM5" s="8"/>
      <c r="AN5" s="8"/>
      <c r="AO5" s="8"/>
      <c r="AP5" s="8"/>
      <c r="AQ5">
        <f>numb!CK5</f>
        <v>90605</v>
      </c>
      <c r="AR5">
        <f>numb!CA5</f>
        <v>15444.375</v>
      </c>
      <c r="AS5">
        <f>numb!CB5</f>
        <v>7976.192205033227</v>
      </c>
      <c r="AT5">
        <f>B5</f>
        <v>50490170</v>
      </c>
      <c r="AU5" t="str">
        <f>C5</f>
        <v>Oil</v>
      </c>
      <c r="AV5">
        <f>O5</f>
        <v>0.002</v>
      </c>
      <c r="AW5">
        <f>P5</f>
        <v>0.03</v>
      </c>
      <c r="AX5">
        <f>LN(AW5-AV5)</f>
        <v>-3.575550768806933</v>
      </c>
      <c r="AY5">
        <f>LN((BB5-AV5)/(AW5-AV5))/3.09</f>
        <v>1.156488273830505</v>
      </c>
      <c r="AZ5">
        <f>EXP(AX5+AY5^2/2)*NORMSDIST((LN(BB5)-AX5-AY5^2)/AY5)/NORMSDIST((LN(BB5)-AX5)/AY5)</f>
        <v>0.053255195371080685</v>
      </c>
      <c r="BA5">
        <f>EXP(2*AX5+2*AY5^2)*NORMSDIST((LN(BB5)-AX5-2*AY5^2)/AY5)/NORMSDIST((LN(BB5)-AX5)/AY5)</f>
        <v>0.008904879921766324</v>
      </c>
      <c r="BB5">
        <f>Q5</f>
        <v>1</v>
      </c>
      <c r="BC5">
        <f>AZ5+AV5</f>
        <v>0.05525519537108069</v>
      </c>
      <c r="BD5">
        <f>SQRT(BA5-AZ5^2)</f>
        <v>0.07790227267387229</v>
      </c>
      <c r="BE5">
        <f>B5</f>
        <v>50490170</v>
      </c>
      <c r="BF5" t="str">
        <f>C5</f>
        <v>Oil</v>
      </c>
      <c r="BG5">
        <f>T5</f>
        <v>1000</v>
      </c>
      <c r="BH5">
        <f>IF(BJ5=(BG5+BM5)/2,BJ5,IF(BJ5&lt;(BG5+BM5)/2,BM5-SQRT(0.5*(BM5-BG5)*(BM5-BJ5)),BG5+SQRT(0.5*(BM5-BG5)*(BJ5-BG5))))</f>
        <v>2000</v>
      </c>
      <c r="BI5">
        <f>(BG5+BM5)/2</f>
        <v>2000</v>
      </c>
      <c r="BJ5">
        <f>U5</f>
        <v>2000</v>
      </c>
      <c r="BM5">
        <f>V5</f>
        <v>3000</v>
      </c>
      <c r="BN5">
        <f>(BG5+BM5+BJ5)/3</f>
        <v>2000</v>
      </c>
      <c r="BO5">
        <f>SQRT((BG5^2+BM5^2+BJ5^2-BG5*BM5-BG5*BJ5-BM5*BJ5)/18)</f>
        <v>408.248290463863</v>
      </c>
      <c r="BP5">
        <f>B5</f>
        <v>50490170</v>
      </c>
      <c r="BQ5" t="str">
        <f>C5</f>
        <v>Oil</v>
      </c>
      <c r="BR5">
        <f>W5</f>
        <v>10</v>
      </c>
      <c r="BS5">
        <f>IF(BU5=(BR5+BX5)/2,BU5,IF(BU5&lt;(BR5+BX5)/2,BX5-SQRT(0.5*(BX5-BR5)*(BX5-BU5)),BR5+SQRT(0.5*(BX5-BR5)*(BU5-BR5))))</f>
        <v>20</v>
      </c>
      <c r="BT5">
        <f>(BR5+BX5)/2</f>
        <v>20</v>
      </c>
      <c r="BU5">
        <f>X5</f>
        <v>20</v>
      </c>
      <c r="BX5">
        <f>Y5</f>
        <v>30</v>
      </c>
      <c r="BY5">
        <f>(BR5+BX5+BU5)/3</f>
        <v>20</v>
      </c>
      <c r="BZ5">
        <f>SQRT((BR5^2+BX5^2+BU5^2-BR5*BX5-BR5*BU5-BX5*BU5)/18)</f>
        <v>4.08248290463863</v>
      </c>
      <c r="CA5" t="str">
        <f>AA5</f>
        <v>Texas</v>
      </c>
      <c r="CB5" t="str">
        <f>C5</f>
        <v>Oil</v>
      </c>
      <c r="CC5">
        <f>AC5</f>
        <v>58.88</v>
      </c>
      <c r="CD5">
        <f>IF(CF5=(CC5+CI5)/2,CF5,IF(CF5&lt;(CC5+CI5)/2,CI5-SQRT(0.5*(CI5-CC5)*(CI5-CF5)),CC5+SQRT(0.5*(CI5-CC5)*(CF5-CC5))))</f>
        <v>58.88</v>
      </c>
      <c r="CE5">
        <f>(CC5+CI5)/2</f>
        <v>58.88</v>
      </c>
      <c r="CF5">
        <f>AD5</f>
        <v>58.88</v>
      </c>
      <c r="CI5">
        <f>AE5</f>
        <v>58.88</v>
      </c>
      <c r="CJ5">
        <f>(CC5+CI5+CF5)/3</f>
        <v>58.88</v>
      </c>
      <c r="CK5">
        <f>SQRT((CC5^2+CI5^2+CF5^2-CC5*CI5-CC5*CF5-CI5*CF5)/18)</f>
        <v>0</v>
      </c>
      <c r="CL5" t="str">
        <f>AA5</f>
        <v>Texas</v>
      </c>
      <c r="CM5" t="str">
        <f>C5</f>
        <v>Oil</v>
      </c>
      <c r="CN5">
        <f>AF5</f>
        <v>0</v>
      </c>
      <c r="CO5">
        <f>IF(CQ5=(CN5+CT5)/2,CQ5,IF(CQ5&lt;(CN5+CT5)/2,CT5-SQRT(0.5*(CT5-CN5)*(CT5-CQ5)),CN5+SQRT(0.5*(CT5-CN5)*(CQ5-CN5))))</f>
        <v>0</v>
      </c>
      <c r="CP5">
        <f>(CN5+CT5)/2</f>
        <v>0</v>
      </c>
      <c r="CQ5">
        <f>AG5</f>
        <v>0</v>
      </c>
      <c r="CT5">
        <f>AH5</f>
        <v>0</v>
      </c>
      <c r="CU5">
        <f>(CN5+CT5+CQ5)/3</f>
        <v>0</v>
      </c>
      <c r="CV5">
        <f>SQRT((CN5^2+CT5^2+CQ5^2-CN5*CT5-CN5*CQ5-CT5*CQ5)/18)</f>
        <v>0</v>
      </c>
      <c r="CW5">
        <f>B5</f>
        <v>50490170</v>
      </c>
      <c r="CX5" t="str">
        <f>C5</f>
        <v>Oil</v>
      </c>
      <c r="CY5">
        <f>AR5*BC5</f>
        <v>853.3819580092343</v>
      </c>
      <c r="CZ5">
        <f>SQRT(AR5*BD5^2+BC5^2*AS5^2)</f>
        <v>440.8323797126197</v>
      </c>
      <c r="DA5">
        <f>LN(CY5^2/SQRT(CY5^2+CZ5^2))</f>
        <v>6.630942210417412</v>
      </c>
      <c r="DB5">
        <f>SQRT(LN(CZ5^2/CY5^2+1))</f>
        <v>0.48634353867763835</v>
      </c>
      <c r="DC5">
        <f>AK5*AV5</f>
        <v>0.464</v>
      </c>
      <c r="DD5">
        <f>EXP(DA5+NORMSINV(0.05)*DB5)</f>
        <v>340.69180701719597</v>
      </c>
      <c r="DE5">
        <f>EXP(DA5+NORMSINV(0.25)*DB5)</f>
        <v>546.1580913899926</v>
      </c>
      <c r="DF5">
        <f>EXP(DA5)</f>
        <v>758.196214570981</v>
      </c>
      <c r="DG5">
        <f>EXP(DA5+NORMSINV(0.75)*DB5)</f>
        <v>1052.555127997319</v>
      </c>
      <c r="DH5">
        <f>EXP(DA5+NORMSINV(0.95)*DB5)</f>
        <v>1687.3358500245624</v>
      </c>
      <c r="DI5">
        <f>AQ5*BB5</f>
        <v>90605</v>
      </c>
      <c r="DJ5">
        <f>B5</f>
        <v>50490170</v>
      </c>
      <c r="DK5" t="str">
        <f>C5</f>
        <v>Oil</v>
      </c>
      <c r="DL5">
        <f>(1/1000)*(BN5*CY5)</f>
        <v>1706.7639160184685</v>
      </c>
      <c r="DM5">
        <f>(1/1000)*SQRT(BO5^2*CY5^2+CZ5^2*BN5^2+BO5^2*CZ5^2)</f>
        <v>964.9344054850703</v>
      </c>
      <c r="DN5">
        <f>LN(DL5^2/SQRT(DL5^2+DM5^2))</f>
        <v>7.303678393717229</v>
      </c>
      <c r="DO5">
        <f>SQRT(LN(DM5^2/DL5^2+1))</f>
        <v>0.5266422240323525</v>
      </c>
      <c r="DP5">
        <f>(1/1000)*(BG5*DC5)</f>
        <v>0.464</v>
      </c>
      <c r="DQ5">
        <f>EXP(DN5+NORMSINV(0.05)*DO5)</f>
        <v>624.798389821465</v>
      </c>
      <c r="DR5">
        <f>EXP(DN5+NORMSINV(0.25)*DO5)</f>
        <v>1041.5482755664764</v>
      </c>
      <c r="DS5">
        <f>EXP(DN5)</f>
        <v>1485.7550804869209</v>
      </c>
      <c r="DT5">
        <f>EXP(DN5+NORMSINV(0.75)*DO5)</f>
        <v>2119.410315371221</v>
      </c>
      <c r="DU5">
        <f>EXP(DN5+NORMSINV(0.95)*DO5)</f>
        <v>3533.088745352681</v>
      </c>
      <c r="DV5">
        <f>(1/1000)*(BM5*DI5)</f>
        <v>271815</v>
      </c>
      <c r="DW5">
        <f>B5</f>
        <v>50490170</v>
      </c>
      <c r="DX5" t="str">
        <f>C5</f>
        <v>Oil</v>
      </c>
      <c r="DY5">
        <f>(1/1000)*(BY5*DL5)</f>
        <v>34.135278320369366</v>
      </c>
      <c r="DZ5">
        <f>(1/1000)*SQRT(BZ5^2*DL5^2+DM5^2*BY5^2+BZ5^2*DM5^2)</f>
        <v>20.89278313885896</v>
      </c>
      <c r="EA5">
        <f>LN(DY5^2/SQRT(DY5^2+DZ5^2))</f>
        <v>3.3712443910289553</v>
      </c>
      <c r="EB5">
        <f>SQRT(LN(DZ5^2/DY5^2+1))</f>
        <v>0.5640691683242383</v>
      </c>
      <c r="EC5">
        <f>(1/1000)*(BR5*DP5)</f>
        <v>0.004640000000000001</v>
      </c>
      <c r="ED5">
        <f>EXP(EA5+NORMSINV(0.05)*EB5)</f>
        <v>11.51249737604719</v>
      </c>
      <c r="EE5">
        <f>EXP(EA5+NORMSINV(0.25)*EB5)</f>
        <v>19.90130920162107</v>
      </c>
      <c r="EF5">
        <f>EXP(EA5)</f>
        <v>29.11473463952566</v>
      </c>
      <c r="EG5">
        <f>EXP(EA5+NORMSINV(0.75)*EB5)</f>
        <v>42.59356831966352</v>
      </c>
      <c r="EH5">
        <f>EXP(EA5+NORMSINV(0.95)*EB5)</f>
        <v>73.63022508857594</v>
      </c>
      <c r="EI5">
        <f>(1/1000)*(BX5*DV5)</f>
        <v>8154.45</v>
      </c>
      <c r="EJ5">
        <f>B5</f>
        <v>50490170</v>
      </c>
      <c r="EK5" t="str">
        <f>C5</f>
        <v>Oil</v>
      </c>
      <c r="EL5">
        <f>CY5*(1+(1/6000)*BN5*(1+(6000/10^6)*BY5))</f>
        <v>1171.9778889993484</v>
      </c>
      <c r="EM5">
        <f>SQRT(CZ5^2*(1+(1/6000)*BN5*(1+0.006*BY5))^2+(CY5^2+CZ5^2)*(((1/6000)*BO5)^2*(1+0.006*BY5)^2+(1/6000)^2*(BN5^2+BO5^2)*(0.006*BZ5)^2))</f>
        <v>609.8712779768201</v>
      </c>
      <c r="EN5">
        <f>LN(EL5^2/SQRT(EL5^2+EM5^2))</f>
        <v>6.946627523997864</v>
      </c>
      <c r="EO5">
        <f>SQRT(LN(EM5^2/EL5^2+1))</f>
        <v>0.4895315718513291</v>
      </c>
      <c r="EP5">
        <f>DC5*(1+(1/6000)*BG5*(1+(6000/10^6)*BR5))</f>
        <v>0.5459733333333334</v>
      </c>
      <c r="EQ5">
        <f>EXP(EN5+NORMSINV(0.05)*EO5)</f>
        <v>464.71287536104023</v>
      </c>
      <c r="ER5">
        <f>EXP(EN5+NORMSINV(0.25)*EO5)</f>
        <v>747.2826519685387</v>
      </c>
      <c r="ES5">
        <f>EXP(EN5)</f>
        <v>1039.637656273232</v>
      </c>
      <c r="ET5">
        <f>EXP(EN5+NORMSINV(0.75)*EO5)</f>
        <v>1446.3689923672998</v>
      </c>
      <c r="EU5">
        <f>EXP(EN5+NORMSINV(0.95)*EO5)</f>
        <v>2325.8371214732906</v>
      </c>
      <c r="EV5">
        <f>DI5*(1+(1/6000)*BM5*(1+(6000/10^6)*BX5))</f>
        <v>144061.94999999998</v>
      </c>
      <c r="EW5" t="str">
        <f>AA5</f>
        <v>Texas</v>
      </c>
      <c r="EX5" t="str">
        <f>C5</f>
        <v>Oil</v>
      </c>
      <c r="EY5">
        <f>CJ5*CY5/100</f>
        <v>502.47129687583714</v>
      </c>
      <c r="EZ5">
        <f>(1/100)*SQRT(CK5^2*CY5^2+CZ5^2*CJ5^2+CK5^2*CZ5^2)</f>
        <v>259.5621051747905</v>
      </c>
      <c r="FA5">
        <f>LN(EY5^2/SQRT(EY5^2+EZ5^2))</f>
        <v>6.101273498849941</v>
      </c>
      <c r="FB5">
        <f>SQRT(LN(EZ5^2/EY5^2+1))</f>
        <v>0.48634353867763835</v>
      </c>
      <c r="FC5">
        <f>CC5*DC5/100</f>
        <v>0.27320320000000003</v>
      </c>
      <c r="FD5">
        <f>EXP(FA5+NORMSINV(0.05)*FB5)</f>
        <v>200.59933597172494</v>
      </c>
      <c r="FE5">
        <f>EXP(FA5+NORMSINV(0.25)*FB5)</f>
        <v>321.57788421042756</v>
      </c>
      <c r="FF5">
        <f>EXP(FA5)</f>
        <v>446.4259311393935</v>
      </c>
      <c r="FG5">
        <f>EXP(FA5+NORMSINV(0.75)*FB5)</f>
        <v>619.7444593648213</v>
      </c>
      <c r="FH5">
        <f>EXP(FA5+NORMSINV(0.95)*FB5)</f>
        <v>993.5033484944622</v>
      </c>
      <c r="FI5">
        <f>CI5*DI5/100</f>
        <v>53348.224</v>
      </c>
      <c r="FJ5" t="str">
        <f>AA5</f>
        <v>Texas</v>
      </c>
      <c r="FK5" t="str">
        <f>C5</f>
        <v>Oil</v>
      </c>
      <c r="FL5">
        <f>CJ5*DL5/100</f>
        <v>1004.9425937516743</v>
      </c>
      <c r="FM5">
        <f>(1/100)*SQRT(CK5^2*DL5^2+DM5^2*CJ5^2+CK5^2*DM5^2)</f>
        <v>568.1533779496094</v>
      </c>
      <c r="FN5">
        <f>LN(FL5^2/SQRT(FL5^2+FM5^2))</f>
        <v>6.774009682149758</v>
      </c>
      <c r="FO5">
        <f>SQRT(LN(FM5^2/FL5^2+1))</f>
        <v>0.5266422240323525</v>
      </c>
      <c r="FP5">
        <f>CC5*DP5/100</f>
        <v>0.27320320000000003</v>
      </c>
      <c r="FQ5">
        <f>EXP(FN5+NORMSINV(0.05)*FO5)</f>
        <v>367.88129192687853</v>
      </c>
      <c r="FR5">
        <f>EXP(FN5+NORMSINV(0.25)*FO5)</f>
        <v>613.2636246535411</v>
      </c>
      <c r="FS5">
        <f>EXP(FN5)</f>
        <v>874.8125913906989</v>
      </c>
      <c r="FT5">
        <f>EXP(FN5+NORMSINV(0.75)*FO5)</f>
        <v>1247.9087936905746</v>
      </c>
      <c r="FU5">
        <f>EXP(FN5+NORMSINV(0.95)*FO5)</f>
        <v>2080.282653263658</v>
      </c>
      <c r="FV5">
        <f>CI5*DV5/100</f>
        <v>160044.67200000002</v>
      </c>
      <c r="FW5" t="str">
        <f>AA5</f>
        <v>Texas</v>
      </c>
      <c r="FX5" t="str">
        <f>C5</f>
        <v>Oil</v>
      </c>
      <c r="FY5">
        <f>CJ5*DY5/100</f>
        <v>20.098851875033482</v>
      </c>
      <c r="FZ5">
        <f>(1/100)*SQRT(CK5^2*DY5^2+DZ5^2*CJ5^2+CK5^2*DZ5^2)</f>
        <v>12.301670712160156</v>
      </c>
      <c r="GA5">
        <f>LN(FY5^2/SQRT(FY5^2+FZ5^2))</f>
        <v>2.8415756794614846</v>
      </c>
      <c r="GB5">
        <f>SQRT(LN(FZ5^2/FY5^2+1))</f>
        <v>0.5640691683242383</v>
      </c>
      <c r="GC5">
        <f>CC5*EC5/100</f>
        <v>0.002732032000000001</v>
      </c>
      <c r="GD5">
        <f>EXP(GA5+NORMSINV(0.05)*GB5)</f>
        <v>6.778558455016586</v>
      </c>
      <c r="GE5">
        <f>EXP(GA5+NORMSINV(0.25)*GB5)</f>
        <v>11.717890857914485</v>
      </c>
      <c r="GF5">
        <f>EXP(GA5)</f>
        <v>17.142755755752706</v>
      </c>
      <c r="GG5">
        <f>EXP(GA5+NORMSINV(0.75)*GB5)</f>
        <v>25.079093026617873</v>
      </c>
      <c r="GH5">
        <f>EXP(GA5+NORMSINV(0.95)*GB5)</f>
        <v>43.35347653215351</v>
      </c>
      <c r="GI5">
        <f>CI5*EI5/100</f>
        <v>4801.34016</v>
      </c>
      <c r="GJ5" t="str">
        <f>AA5</f>
        <v>Texas</v>
      </c>
      <c r="GK5" t="str">
        <f>C5</f>
        <v>Oil</v>
      </c>
      <c r="GL5">
        <f>CJ5*EL5/100</f>
        <v>690.0605810428164</v>
      </c>
      <c r="GM5">
        <f>(1/100)*SQRT(CK5^2*EL5^2+EM5^2*CJ5^2+CK5^2*EM5^2)</f>
        <v>359.09220847275174</v>
      </c>
      <c r="GN5">
        <f>LN(GL5^2/SQRT(GL5^2+GM5^2))</f>
        <v>6.416958812430393</v>
      </c>
      <c r="GO5">
        <f>SQRT(LN(GM5^2/GL5^2+1))</f>
        <v>0.4895315718513291</v>
      </c>
      <c r="GP5">
        <f>CC5*EP5/100</f>
        <v>0.32146909866666673</v>
      </c>
      <c r="GQ5">
        <f>EXP(GN5+NORMSINV(0.05)*GO5)</f>
        <v>273.62294101258044</v>
      </c>
      <c r="GR5">
        <f>EXP(GN5+NORMSINV(0.25)*GO5)</f>
        <v>440.00002547907553</v>
      </c>
      <c r="GS5">
        <f>EXP(GN5)</f>
        <v>612.1386520136789</v>
      </c>
      <c r="GT5">
        <f>EXP(GN5+NORMSINV(0.75)*GO5)</f>
        <v>851.6220627058659</v>
      </c>
      <c r="GU5">
        <f>EXP(GN5+NORMSINV(0.95)*GO5)</f>
        <v>1369.4528971234733</v>
      </c>
      <c r="GV5">
        <f>CI5*EV5/100</f>
        <v>84823.67615999999</v>
      </c>
      <c r="GW5" t="str">
        <f>AA5</f>
        <v>Texas</v>
      </c>
      <c r="GX5" t="str">
        <f>C5</f>
        <v>Oil</v>
      </c>
      <c r="GY5">
        <f>CU5*EY5/100</f>
        <v>0</v>
      </c>
      <c r="GZ5">
        <f>(1/100)*SQRT(CV5^2*EY5^2+EZ5^2*CU5^2+CV5^2*EZ5^2)</f>
        <v>0</v>
      </c>
      <c r="HA5" t="e">
        <f>LN(GY5^2/SQRT(GY5^2+GZ5^2))</f>
        <v>#DIV/0!</v>
      </c>
      <c r="HB5" t="e">
        <f>SQRT(LN(GZ5^2/GY5^2+1))</f>
        <v>#DIV/0!</v>
      </c>
      <c r="HC5">
        <f>CN5*FC5/100</f>
        <v>0</v>
      </c>
      <c r="HD5" t="e">
        <f>EXP(HA5+NORMSINV(0.05)*HB5)</f>
        <v>#DIV/0!</v>
      </c>
      <c r="HE5" t="e">
        <f>EXP(HA5+NORMSINV(0.25)*HB5)</f>
        <v>#DIV/0!</v>
      </c>
      <c r="HF5" t="e">
        <f>EXP(HA5)</f>
        <v>#DIV/0!</v>
      </c>
      <c r="HG5" t="e">
        <f>EXP(HA5+NORMSINV(0.75)*HB5)</f>
        <v>#DIV/0!</v>
      </c>
      <c r="HH5" t="e">
        <f>EXP(HA5+NORMSINV(0.95)*HB5)</f>
        <v>#DIV/0!</v>
      </c>
      <c r="HI5">
        <f>CT5*FI5/100</f>
        <v>0</v>
      </c>
      <c r="HJ5" t="str">
        <f>AA5</f>
        <v>Texas</v>
      </c>
      <c r="HK5" t="str">
        <f>C5</f>
        <v>Oil</v>
      </c>
      <c r="HL5">
        <f>CU5*FL5/100</f>
        <v>0</v>
      </c>
      <c r="HM5">
        <f>(1/100)*SQRT(CV5^2*FL5^2+FM5^2*CU5^2+CV5^2*FM5^2)</f>
        <v>0</v>
      </c>
      <c r="HN5" t="e">
        <f>LN(HL5^2/SQRT(HL5^2+HM5^2))</f>
        <v>#DIV/0!</v>
      </c>
      <c r="HO5" t="e">
        <f>SQRT(LN(HM5^2/HL5^2+1))</f>
        <v>#DIV/0!</v>
      </c>
      <c r="HP5">
        <f>CN5*FP5/100</f>
        <v>0</v>
      </c>
      <c r="HQ5" t="e">
        <f>EXP(HN5+NORMSINV(0.05)*HO5)</f>
        <v>#DIV/0!</v>
      </c>
      <c r="HR5" t="e">
        <f>EXP(HN5+NORMSINV(0.25)*HO5)</f>
        <v>#DIV/0!</v>
      </c>
      <c r="HS5" t="e">
        <f>EXP(HN5)</f>
        <v>#DIV/0!</v>
      </c>
      <c r="HT5" t="e">
        <f>EXP(HN5+NORMSINV(0.75)*HO5)</f>
        <v>#DIV/0!</v>
      </c>
      <c r="HU5" t="e">
        <f>EXP(HN5+NORMSINV(0.95)*HO5)</f>
        <v>#DIV/0!</v>
      </c>
      <c r="HV5">
        <f>CT5*FV5/100</f>
        <v>0</v>
      </c>
      <c r="HW5" t="str">
        <f>AA5</f>
        <v>Texas</v>
      </c>
      <c r="HX5" t="str">
        <f>C5</f>
        <v>Oil</v>
      </c>
      <c r="HY5">
        <f>CU5*FY5/100</f>
        <v>0</v>
      </c>
      <c r="HZ5">
        <f>(1/100)*SQRT(CV5^2*FY5^2+FZ5^2*CU5^2+CV5^2*FZ5^2)</f>
        <v>0</v>
      </c>
      <c r="IA5" t="e">
        <f>LN(HY5^2/SQRT(HY5^2+HZ5^2))</f>
        <v>#DIV/0!</v>
      </c>
      <c r="IB5" t="e">
        <f>SQRT(LN(HZ5^2/HY5^2+1))</f>
        <v>#DIV/0!</v>
      </c>
      <c r="IC5">
        <f>CN5*GC5/100</f>
        <v>0</v>
      </c>
      <c r="ID5" t="e">
        <f>EXP(IA5+NORMSINV(0.05)*IB5)</f>
        <v>#DIV/0!</v>
      </c>
      <c r="IE5" t="e">
        <f>EXP(IA5+NORMSINV(0.25)*IB5)</f>
        <v>#DIV/0!</v>
      </c>
      <c r="IF5" t="e">
        <f>EXP(IA5)</f>
        <v>#DIV/0!</v>
      </c>
      <c r="IG5" t="e">
        <f>EXP(IA5+NORMSINV(0.75)*IB5)</f>
        <v>#DIV/0!</v>
      </c>
      <c r="IH5" t="e">
        <f>EXP(IA5+NORMSINV(0.95)*IB5)</f>
        <v>#DIV/0!</v>
      </c>
      <c r="II5">
        <f>CT5*GI5/100</f>
        <v>0</v>
      </c>
      <c r="IJ5" t="str">
        <f>AA5</f>
        <v>Texas</v>
      </c>
      <c r="IK5" t="str">
        <f>C5</f>
        <v>Oil</v>
      </c>
      <c r="IL5">
        <f>CU5*GL5/100</f>
        <v>0</v>
      </c>
      <c r="IM5">
        <f>(1/100)*SQRT(CV5^2*GL5^2+GM5^2*CU5^2+CV5^2*GM5^2)</f>
        <v>0</v>
      </c>
      <c r="IN5" t="e">
        <f>LN(IL5^2/SQRT(IL5^2+IM5^2))</f>
        <v>#DIV/0!</v>
      </c>
      <c r="IO5" t="e">
        <f>SQRT(LN(IM5^2/IL5^2+1))</f>
        <v>#DIV/0!</v>
      </c>
      <c r="IP5">
        <f>CN5*GP5/100</f>
        <v>0</v>
      </c>
      <c r="IQ5" t="e">
        <f>EXP(IN5+NORMSINV(0.05)*IO5)</f>
        <v>#DIV/0!</v>
      </c>
      <c r="IR5" t="e">
        <f>EXP(IN5+NORMSINV(0.25)*IO5)</f>
        <v>#DIV/0!</v>
      </c>
      <c r="IS5" t="e">
        <f>EXP(IN5)</f>
        <v>#DIV/0!</v>
      </c>
      <c r="IT5" t="e">
        <f>EXP(IN5+NORMSINV(0.75)*IO5)</f>
        <v>#DIV/0!</v>
      </c>
      <c r="IU5" t="e">
        <f>EXP(IN5+NORMSINV(0.95)*IO5)</f>
        <v>#DIV/0!</v>
      </c>
      <c r="IV5">
        <f>CT5*GV5/100</f>
        <v>0</v>
      </c>
    </row>
    <row r="6" spans="1:256" ht="12.75">
      <c r="A6" t="s">
        <v>141</v>
      </c>
      <c r="B6">
        <v>50620261</v>
      </c>
      <c r="C6" t="s">
        <v>49</v>
      </c>
      <c r="D6">
        <v>1</v>
      </c>
      <c r="E6">
        <v>1</v>
      </c>
      <c r="F6">
        <v>1</v>
      </c>
      <c r="G6">
        <f>D6*E6*F6</f>
        <v>1</v>
      </c>
      <c r="H6">
        <v>1</v>
      </c>
      <c r="I6">
        <f>G6*H6</f>
        <v>1</v>
      </c>
      <c r="J6">
        <f>B6</f>
        <v>50620261</v>
      </c>
      <c r="K6" t="str">
        <f>C6</f>
        <v>Gas</v>
      </c>
      <c r="L6" s="7" t="s">
        <v>107</v>
      </c>
      <c r="M6" s="7"/>
      <c r="N6" s="7"/>
      <c r="O6">
        <v>0.02</v>
      </c>
      <c r="P6">
        <v>0.5</v>
      </c>
      <c r="Q6">
        <v>10</v>
      </c>
      <c r="R6">
        <f>B6</f>
        <v>50620261</v>
      </c>
      <c r="S6" t="str">
        <f>C6</f>
        <v>Gas</v>
      </c>
      <c r="T6">
        <v>0</v>
      </c>
      <c r="U6">
        <v>0</v>
      </c>
      <c r="V6">
        <v>40</v>
      </c>
      <c r="W6">
        <v>0</v>
      </c>
      <c r="X6">
        <v>0</v>
      </c>
      <c r="Y6">
        <v>0</v>
      </c>
      <c r="AA6" t="s">
        <v>143</v>
      </c>
      <c r="AB6" t="str">
        <f>C6</f>
        <v>Gas</v>
      </c>
      <c r="AC6">
        <v>85</v>
      </c>
      <c r="AD6">
        <v>85</v>
      </c>
      <c r="AE6">
        <v>85</v>
      </c>
      <c r="AF6">
        <v>0</v>
      </c>
      <c r="AG6">
        <v>0</v>
      </c>
      <c r="AH6">
        <v>0</v>
      </c>
      <c r="AI6">
        <f>B6</f>
        <v>50620261</v>
      </c>
      <c r="AJ6" t="str">
        <f>C6</f>
        <v>Gas</v>
      </c>
      <c r="AK6">
        <f>numb!CE6</f>
        <v>1740</v>
      </c>
      <c r="AL6" s="7" t="s">
        <v>129</v>
      </c>
      <c r="AM6" s="7"/>
      <c r="AN6" s="7"/>
      <c r="AO6" s="7"/>
      <c r="AP6" s="7"/>
      <c r="AQ6">
        <f>numb!CK6</f>
        <v>73173</v>
      </c>
      <c r="AR6">
        <f>numb!CA6</f>
        <v>13609.100000000002</v>
      </c>
      <c r="AS6">
        <f>numb!CB6</f>
        <v>4377.829779334735</v>
      </c>
      <c r="AT6">
        <f>B6</f>
        <v>50620261</v>
      </c>
      <c r="AU6" t="str">
        <f>C6</f>
        <v>Gas</v>
      </c>
      <c r="AV6">
        <f>O6</f>
        <v>0.02</v>
      </c>
      <c r="AW6">
        <f>P6</f>
        <v>0.5</v>
      </c>
      <c r="AX6">
        <f>LN(AW6-AV6)</f>
        <v>-0.7339691750802004</v>
      </c>
      <c r="AY6">
        <f>LN((BB6-AV6)/(AW6-AV6))/3.09</f>
        <v>0.9820557493215447</v>
      </c>
      <c r="AZ6">
        <f>EXP(AX6+AY6^2/2)*NORMSDIST((LN(BB6)-AX6-AY6^2)/AY6)/NORMSDIST((LN(BB6)-AX6)/AY6)</f>
        <v>0.7646465293356761</v>
      </c>
      <c r="BA6">
        <f>EXP(2*AX6+2*AY6^2)*NORMSDIST((LN(BB6)-AX6-2*AY6^2)/AY6)/NORMSDIST((LN(BB6)-AX6)/AY6)</f>
        <v>1.3813124315136527</v>
      </c>
      <c r="BB6">
        <f>Q6</f>
        <v>10</v>
      </c>
      <c r="BC6">
        <f>AZ6+AV6</f>
        <v>0.7846465293356761</v>
      </c>
      <c r="BD6">
        <f>SQRT(BA6-AZ6^2)</f>
        <v>0.8925402605420989</v>
      </c>
      <c r="BE6">
        <f>B6</f>
        <v>50620261</v>
      </c>
      <c r="BF6" t="str">
        <f>C6</f>
        <v>Gas</v>
      </c>
      <c r="BG6">
        <f>T6</f>
        <v>0</v>
      </c>
      <c r="BH6">
        <f>IF(BJ6=(BG6+BM6)/2,BJ6,IF(BJ6&lt;(BG6+BM6)/2,BM6-SQRT(0.5*(BM6-BG6)*(BM6-BJ6)),BG6+SQRT(0.5*(BM6-BG6)*(BJ6-BG6))))</f>
        <v>11.715728752538098</v>
      </c>
      <c r="BI6">
        <f>(BG6+BM6)/2</f>
        <v>20</v>
      </c>
      <c r="BJ6">
        <f>U6</f>
        <v>0</v>
      </c>
      <c r="BM6">
        <f>V6</f>
        <v>40</v>
      </c>
      <c r="BN6">
        <f>(BG6+BM6+BJ6)/3</f>
        <v>13.333333333333334</v>
      </c>
      <c r="BO6">
        <f>SQRT((BG6^2+BM6^2+BJ6^2-BG6*BM6-BG6*BJ6-BM6*BJ6)/18)</f>
        <v>9.428090415820634</v>
      </c>
      <c r="BP6">
        <f>B6</f>
        <v>50620261</v>
      </c>
      <c r="BQ6" t="str">
        <f>C6</f>
        <v>Gas</v>
      </c>
      <c r="BR6">
        <f>W6</f>
        <v>0</v>
      </c>
      <c r="BS6">
        <f>IF(BU6=(BR6+BX6)/2,BU6,IF(BU6&lt;(BR6+BX6)/2,BX6-SQRT(0.5*(BX6-BR6)*(BX6-BU6)),BR6+SQRT(0.5*(BX6-BR6)*(BU6-BR6))))</f>
        <v>0</v>
      </c>
      <c r="BT6">
        <f>(BR6+BX6)/2</f>
        <v>0</v>
      </c>
      <c r="BU6">
        <f>X6</f>
        <v>0</v>
      </c>
      <c r="BX6">
        <f>Y6</f>
        <v>0</v>
      </c>
      <c r="BY6">
        <f>(BR6+BX6+BU6)/3</f>
        <v>0</v>
      </c>
      <c r="BZ6">
        <f>SQRT((BR6^2+BX6^2+BU6^2-BR6*BX6-BR6*BU6-BX6*BU6)/18)</f>
        <v>0</v>
      </c>
      <c r="CA6" t="str">
        <f>AA6</f>
        <v>Oklahoma</v>
      </c>
      <c r="CB6" t="str">
        <f>C6</f>
        <v>Gas</v>
      </c>
      <c r="CC6">
        <f>AC6</f>
        <v>85</v>
      </c>
      <c r="CD6">
        <f>IF(CF6=(CC6+CI6)/2,CF6,IF(CF6&lt;(CC6+CI6)/2,CI6-SQRT(0.5*(CI6-CC6)*(CI6-CF6)),CC6+SQRT(0.5*(CI6-CC6)*(CF6-CC6))))</f>
        <v>85</v>
      </c>
      <c r="CE6">
        <f>(CC6+CI6)/2</f>
        <v>85</v>
      </c>
      <c r="CF6">
        <f>AD6</f>
        <v>85</v>
      </c>
      <c r="CI6">
        <f>AE6</f>
        <v>85</v>
      </c>
      <c r="CJ6">
        <f>(CC6+CI6+CF6)/3</f>
        <v>85</v>
      </c>
      <c r="CK6">
        <f>SQRT((CC6^2+CI6^2+CF6^2-CC6*CI6-CC6*CF6-CI6*CF6)/18)</f>
        <v>0</v>
      </c>
      <c r="CL6" t="str">
        <f>AA6</f>
        <v>Oklahoma</v>
      </c>
      <c r="CM6" t="str">
        <f>C6</f>
        <v>Gas</v>
      </c>
      <c r="CN6">
        <f>AF6</f>
        <v>0</v>
      </c>
      <c r="CO6">
        <f>IF(CQ6=(CN6+CT6)/2,CQ6,IF(CQ6&lt;(CN6+CT6)/2,CT6-SQRT(0.5*(CT6-CN6)*(CT6-CQ6)),CN6+SQRT(0.5*(CT6-CN6)*(CQ6-CN6))))</f>
        <v>0</v>
      </c>
      <c r="CP6">
        <f>(CN6+CT6)/2</f>
        <v>0</v>
      </c>
      <c r="CQ6">
        <f>AG6</f>
        <v>0</v>
      </c>
      <c r="CT6">
        <f>AH6</f>
        <v>0</v>
      </c>
      <c r="CU6">
        <f>(CN6+CT6+CQ6)/3</f>
        <v>0</v>
      </c>
      <c r="CV6">
        <f>SQRT((CN6^2+CT6^2+CQ6^2-CN6*CT6-CN6*CQ6-CT6*CQ6)/18)</f>
        <v>0</v>
      </c>
      <c r="CW6">
        <f>B6</f>
        <v>50620261</v>
      </c>
      <c r="CX6" t="str">
        <f>C6</f>
        <v>Gas</v>
      </c>
      <c r="CY6">
        <f>AR6*BC6</f>
        <v>10678.333082382152</v>
      </c>
      <c r="CZ6">
        <f>SQRT(AR6*BD6^2+BC6^2*AS6^2)</f>
        <v>3436.6266349766165</v>
      </c>
      <c r="DA6">
        <f>LN(CY6^2/SQRT(CY6^2+CZ6^2))</f>
        <v>9.226694260628236</v>
      </c>
      <c r="DB6">
        <f>SQRT(LN(CZ6^2/CY6^2+1))</f>
        <v>0.31393553884773107</v>
      </c>
      <c r="DC6">
        <f>AK6*AV6</f>
        <v>34.800000000000004</v>
      </c>
      <c r="DD6">
        <f>EXP(DA6+NORMSINV(0.05)*DB6)</f>
        <v>6065.160297323441</v>
      </c>
      <c r="DE6">
        <f>EXP(DA6+NORMSINV(0.25)*DB6)</f>
        <v>8225.118291316709</v>
      </c>
      <c r="DF6">
        <f>EXP(DA6)</f>
        <v>10164.883454529365</v>
      </c>
      <c r="DG6">
        <f>EXP(DA6+NORMSINV(0.75)*DB6)</f>
        <v>12562.111812208865</v>
      </c>
      <c r="DH6">
        <f>EXP(DA6+NORMSINV(0.95)*DB6)</f>
        <v>17035.799645684874</v>
      </c>
      <c r="DI6">
        <f>AQ6*BB6</f>
        <v>731730</v>
      </c>
      <c r="DJ6">
        <f>B6</f>
        <v>50620261</v>
      </c>
      <c r="DK6" t="str">
        <f>C6</f>
        <v>Gas</v>
      </c>
      <c r="DL6">
        <f>(1/1000)*(BN6*CY6)</f>
        <v>142.37777443176205</v>
      </c>
      <c r="DM6">
        <f>(1/1000)*SQRT(BO6^2*CY6^2+CZ6^2*BN6^2+BO6^2*CZ6^2)</f>
        <v>115.26125119454663</v>
      </c>
      <c r="DN6">
        <f>LN(DL6^2/SQRT(DL6^2+DM6^2))</f>
        <v>4.706473593037843</v>
      </c>
      <c r="DO6">
        <f>SQRT(LN(DM6^2/DL6^2+1))</f>
        <v>0.7099441038981729</v>
      </c>
      <c r="DP6">
        <f>(1/1000)*(BG6*DC6)</f>
        <v>0</v>
      </c>
      <c r="DQ6">
        <f>EXP(DN6+NORMSINV(0.05)*DO6)</f>
        <v>34.42281112819917</v>
      </c>
      <c r="DR6">
        <f>EXP(DN6+NORMSINV(0.25)*DO6)</f>
        <v>68.5541244854191</v>
      </c>
      <c r="DS6">
        <f>EXP(DN6)</f>
        <v>110.66123448202715</v>
      </c>
      <c r="DT6">
        <f>EXP(DN6+NORMSINV(0.75)*DO6)</f>
        <v>178.63124806868186</v>
      </c>
      <c r="DU6">
        <f>EXP(DN6+NORMSINV(0.95)*DO6)</f>
        <v>355.7498186734185</v>
      </c>
      <c r="DV6">
        <f>(1/1000)*(BM6*DI6)</f>
        <v>29269.2</v>
      </c>
      <c r="DW6">
        <f>B6</f>
        <v>50620261</v>
      </c>
      <c r="DX6" t="str">
        <f>C6</f>
        <v>Gas</v>
      </c>
      <c r="DY6">
        <f>(1/1000)*(BY6*CY6)</f>
        <v>0</v>
      </c>
      <c r="DZ6">
        <f>(1/1000)*SQRT(BZ6^2*CY6^2+CZ6^2*BY6^2+BZ6^2*CZ6^2)</f>
        <v>0</v>
      </c>
      <c r="EA6" t="e">
        <f>LN(DY6^2/SQRT(DY6^2+DZ6^2))</f>
        <v>#DIV/0!</v>
      </c>
      <c r="EB6" t="e">
        <f>SQRT(LN(DZ6^2/DY6^2+1))</f>
        <v>#DIV/0!</v>
      </c>
      <c r="EC6">
        <f>(1/1000)*(BR6*DC6)</f>
        <v>0</v>
      </c>
      <c r="ED6" t="e">
        <f>EXP(EA6+NORMSINV(0.05)*EB6)</f>
        <v>#DIV/0!</v>
      </c>
      <c r="EE6" t="e">
        <f>EXP(EA6+NORMSINV(0.25)*EB6)</f>
        <v>#DIV/0!</v>
      </c>
      <c r="EF6" t="e">
        <f>EXP(EA6)</f>
        <v>#DIV/0!</v>
      </c>
      <c r="EG6" t="e">
        <f>EXP(EA6+NORMSINV(0.75)*EB6)</f>
        <v>#DIV/0!</v>
      </c>
      <c r="EH6" t="e">
        <f>EXP(EA6+NORMSINV(0.95)*EB6)</f>
        <v>#DIV/0!</v>
      </c>
      <c r="EI6">
        <f>(1/1000)*(BX6*DI6)</f>
        <v>0</v>
      </c>
      <c r="EJ6">
        <f>B6</f>
        <v>50620261</v>
      </c>
      <c r="EK6" t="str">
        <f>C6</f>
        <v>Gas</v>
      </c>
      <c r="EL6">
        <f>(1000/6000)*CY6*(1+0.006*BN6+0.006*BY6)</f>
        <v>1922.0999548287875</v>
      </c>
      <c r="EM6">
        <f>SQRT(((1/6)*CZ6)^2*(1+0.006*BN6+0.006*BY6)^2+(((1/6)*CY6)^2+((1/6)*CZ6)^2)*((0.006*BO6)^2+(0.006*BZ6)^2))</f>
        <v>627.5687803322433</v>
      </c>
      <c r="EN6">
        <f>LN(EL6^2/SQRT(EL6^2+EM6^2))</f>
        <v>7.510525968665748</v>
      </c>
      <c r="EO6">
        <f>SQRT(LN(EM6^2/EL6^2+1))</f>
        <v>0.31826914756654573</v>
      </c>
      <c r="EP6">
        <f>(1000/6000)*DC6*(1+0.006*BG6+0.006*BR6)</f>
        <v>5.800000000000001</v>
      </c>
      <c r="EQ6">
        <f>EXP(EN6+NORMSINV(0.05)*EO6)</f>
        <v>1082.4906332411115</v>
      </c>
      <c r="ER6">
        <f>EXP(EN6+NORMSINV(0.25)*EO6)</f>
        <v>1474.1792759500988</v>
      </c>
      <c r="ES6">
        <f>EXP(EN6)</f>
        <v>1827.1743265660193</v>
      </c>
      <c r="ET6">
        <f>EXP(EN6+NORMSINV(0.75)*EO6)</f>
        <v>2264.694718022204</v>
      </c>
      <c r="EU6">
        <f>EXP(EN6+NORMSINV(0.95)*EO6)</f>
        <v>3084.1523401139316</v>
      </c>
      <c r="EV6">
        <f>(1000/6000)*DI6*(1+0.006*BM6+0.006*BX6)</f>
        <v>151224.2</v>
      </c>
      <c r="EW6" t="str">
        <f>AA6</f>
        <v>Oklahoma</v>
      </c>
      <c r="EX6" t="str">
        <f>C6</f>
        <v>Gas</v>
      </c>
      <c r="EY6">
        <f>CJ6*CY6/100</f>
        <v>9076.583120024829</v>
      </c>
      <c r="EZ6">
        <f>(1/100)*SQRT(CK6^2*CY6^2+CZ6^2*CJ6^2+CK6^2*CZ6^2)</f>
        <v>2921.132639730124</v>
      </c>
      <c r="FA6">
        <f>LN(EY6^2/SQRT(EY6^2+EZ6^2))</f>
        <v>9.06417533113046</v>
      </c>
      <c r="FB6">
        <f>SQRT(LN(EZ6^2/EY6^2+1))</f>
        <v>0.31393553884773107</v>
      </c>
      <c r="FC6">
        <f>CC6*DC6/100</f>
        <v>29.580000000000005</v>
      </c>
      <c r="FD6">
        <f>EXP(FA6+NORMSINV(0.05)*FB6)</f>
        <v>5155.386252724924</v>
      </c>
      <c r="FE6">
        <f>EXP(FA6+NORMSINV(0.25)*FB6)</f>
        <v>6991.350547619201</v>
      </c>
      <c r="FF6">
        <f>EXP(FA6)</f>
        <v>8640.150936349957</v>
      </c>
      <c r="FG6">
        <f>EXP(FA6+NORMSINV(0.75)*FB6)</f>
        <v>10677.795040377534</v>
      </c>
      <c r="FH6">
        <f>EXP(FA6+NORMSINV(0.95)*FB6)</f>
        <v>14480.42969883214</v>
      </c>
      <c r="FI6">
        <f>CI6*DI6/100</f>
        <v>621970.5</v>
      </c>
      <c r="FJ6" t="str">
        <f>AA6</f>
        <v>Oklahoma</v>
      </c>
      <c r="FK6" t="str">
        <f>C6</f>
        <v>Gas</v>
      </c>
      <c r="FL6">
        <f>CJ6*DL6/100</f>
        <v>121.02110826699774</v>
      </c>
      <c r="FM6">
        <f>(1/100)*SQRT(CK6^2*DL6^2+DM6^2*CJ6^2+CK6^2*DM6^2)</f>
        <v>97.97206351536462</v>
      </c>
      <c r="FN6">
        <f>LN(FL6^2/SQRT(FL6^2+FM6^2))</f>
        <v>4.5439546635400685</v>
      </c>
      <c r="FO6">
        <f>SQRT(LN(FM6^2/FL6^2+1))</f>
        <v>0.7099441038981729</v>
      </c>
      <c r="FP6">
        <f>CC6*DP6/100</f>
        <v>0</v>
      </c>
      <c r="FQ6">
        <f>EXP(FN6+NORMSINV(0.05)*FO6)</f>
        <v>29.259389458969313</v>
      </c>
      <c r="FR6">
        <f>EXP(FN6+NORMSINV(0.25)*FO6)</f>
        <v>58.271005812606276</v>
      </c>
      <c r="FS6">
        <f>EXP(FN6)</f>
        <v>94.06204930972315</v>
      </c>
      <c r="FT6">
        <f>EXP(FN6+NORMSINV(0.75)*FO6)</f>
        <v>151.83656085837967</v>
      </c>
      <c r="FU6">
        <f>EXP(FN6+NORMSINV(0.95)*FO6)</f>
        <v>302.3873458724059</v>
      </c>
      <c r="FV6">
        <f>CI6*DV6/100</f>
        <v>24878.82</v>
      </c>
      <c r="FW6" t="str">
        <f>AA6</f>
        <v>Oklahoma</v>
      </c>
      <c r="FX6" t="str">
        <f>C6</f>
        <v>Gas</v>
      </c>
      <c r="FY6">
        <f>CJ6*DY6/100</f>
        <v>0</v>
      </c>
      <c r="FZ6">
        <f>(1/100)*SQRT(CK6^2*DY6^2+DZ6^2*CJ6^2+CK6^2*DZ6^2)</f>
        <v>0</v>
      </c>
      <c r="GA6" t="e">
        <f>LN(FY6^2/SQRT(FY6^2+FZ6^2))</f>
        <v>#DIV/0!</v>
      </c>
      <c r="GB6" t="e">
        <f>SQRT(LN(FZ6^2/FY6^2+1))</f>
        <v>#DIV/0!</v>
      </c>
      <c r="GC6">
        <f>CC6*EC6/100</f>
        <v>0</v>
      </c>
      <c r="GD6" t="e">
        <f>EXP(GA6+NORMSINV(0.05)*GB6)</f>
        <v>#DIV/0!</v>
      </c>
      <c r="GE6" t="e">
        <f>EXP(GA6+NORMSINV(0.25)*GB6)</f>
        <v>#DIV/0!</v>
      </c>
      <c r="GF6" t="e">
        <f>EXP(GA6)</f>
        <v>#DIV/0!</v>
      </c>
      <c r="GG6" t="e">
        <f>EXP(GA6+NORMSINV(0.75)*GB6)</f>
        <v>#DIV/0!</v>
      </c>
      <c r="GH6" t="e">
        <f>EXP(GA6+NORMSINV(0.95)*GB6)</f>
        <v>#DIV/0!</v>
      </c>
      <c r="GI6">
        <f>CI6*EI6/100</f>
        <v>0</v>
      </c>
      <c r="GJ6" t="str">
        <f>AA6</f>
        <v>Oklahoma</v>
      </c>
      <c r="GK6" t="str">
        <f>C6</f>
        <v>Gas</v>
      </c>
      <c r="GL6">
        <f>CJ6*EL6/100</f>
        <v>1633.7849616044693</v>
      </c>
      <c r="GM6">
        <f>(1/100)*SQRT(CK6^2*EL6^2+EM6^2*CJ6^2+CK6^2*EM6^2)</f>
        <v>533.4334632824067</v>
      </c>
      <c r="GN6">
        <f>LN(GL6^2/SQRT(GL6^2+GM6^2))</f>
        <v>7.348007039167974</v>
      </c>
      <c r="GO6">
        <f>SQRT(LN(GM6^2/GL6^2+1))</f>
        <v>0.31826914756654573</v>
      </c>
      <c r="GP6">
        <f>CC6*EP6/100</f>
        <v>4.930000000000001</v>
      </c>
      <c r="GQ6">
        <f>EXP(GN6+NORMSINV(0.05)*GO6)</f>
        <v>920.1170382549462</v>
      </c>
      <c r="GR6">
        <f>EXP(GN6+NORMSINV(0.25)*GO6)</f>
        <v>1253.052384557585</v>
      </c>
      <c r="GS6">
        <f>EXP(GN6)</f>
        <v>1553.0981775811174</v>
      </c>
      <c r="GT6">
        <f>EXP(GN6+NORMSINV(0.75)*GO6)</f>
        <v>1924.9905103188746</v>
      </c>
      <c r="GU6">
        <f>EXP(GN6+NORMSINV(0.95)*GO6)</f>
        <v>2621.529489096841</v>
      </c>
      <c r="GV6">
        <f>CI6*EV6/100</f>
        <v>128540.57000000002</v>
      </c>
      <c r="GW6" t="str">
        <f>AA6</f>
        <v>Oklahoma</v>
      </c>
      <c r="GX6" t="str">
        <f>C6</f>
        <v>Gas</v>
      </c>
      <c r="GY6">
        <f>CU6*EY6/100</f>
        <v>0</v>
      </c>
      <c r="GZ6">
        <f>(1/100)*SQRT(CV6^2*EY6^2+EZ6^2*CU6^2+CV6^2*EZ6^2)</f>
        <v>0</v>
      </c>
      <c r="HA6" t="e">
        <f>LN(GY6^2/SQRT(GY6^2+GZ6^2))</f>
        <v>#DIV/0!</v>
      </c>
      <c r="HB6" t="e">
        <f>SQRT(LN(GZ6^2/GY6^2+1))</f>
        <v>#DIV/0!</v>
      </c>
      <c r="HC6">
        <f>CN6*FC6/100</f>
        <v>0</v>
      </c>
      <c r="HD6" t="e">
        <f>EXP(HA6+NORMSINV(0.05)*HB6)</f>
        <v>#DIV/0!</v>
      </c>
      <c r="HE6" t="e">
        <f>EXP(HA6+NORMSINV(0.25)*HB6)</f>
        <v>#DIV/0!</v>
      </c>
      <c r="HF6" t="e">
        <f>EXP(HA6)</f>
        <v>#DIV/0!</v>
      </c>
      <c r="HG6" t="e">
        <f>EXP(HA6+NORMSINV(0.75)*HB6)</f>
        <v>#DIV/0!</v>
      </c>
      <c r="HH6" t="e">
        <f>EXP(HA6+NORMSINV(0.95)*HB6)</f>
        <v>#DIV/0!</v>
      </c>
      <c r="HI6">
        <f>CT6*FI6/100</f>
        <v>0</v>
      </c>
      <c r="HJ6" t="str">
        <f>AA6</f>
        <v>Oklahoma</v>
      </c>
      <c r="HK6" t="str">
        <f>C6</f>
        <v>Gas</v>
      </c>
      <c r="HL6">
        <f>CU6*FL6/100</f>
        <v>0</v>
      </c>
      <c r="HM6">
        <f>(1/100)*SQRT(CV6^2*FL6^2+FM6^2*CU6^2+CV6^2*FM6^2)</f>
        <v>0</v>
      </c>
      <c r="HN6" t="e">
        <f>LN(HL6^2/SQRT(HL6^2+HM6^2))</f>
        <v>#DIV/0!</v>
      </c>
      <c r="HO6" t="e">
        <f>SQRT(LN(HM6^2/HL6^2+1))</f>
        <v>#DIV/0!</v>
      </c>
      <c r="HP6">
        <f>CN6*FP6/100</f>
        <v>0</v>
      </c>
      <c r="HQ6" t="e">
        <f>EXP(HN6+NORMSINV(0.05)*HO6)</f>
        <v>#DIV/0!</v>
      </c>
      <c r="HR6" t="e">
        <f>EXP(HN6+NORMSINV(0.25)*HO6)</f>
        <v>#DIV/0!</v>
      </c>
      <c r="HS6" t="e">
        <f>EXP(HN6)</f>
        <v>#DIV/0!</v>
      </c>
      <c r="HT6" t="e">
        <f>EXP(HN6+NORMSINV(0.75)*HO6)</f>
        <v>#DIV/0!</v>
      </c>
      <c r="HU6" t="e">
        <f>EXP(HN6+NORMSINV(0.95)*HO6)</f>
        <v>#DIV/0!</v>
      </c>
      <c r="HV6">
        <f>CT6*FV6/100</f>
        <v>0</v>
      </c>
      <c r="HW6" t="str">
        <f>AA6</f>
        <v>Oklahoma</v>
      </c>
      <c r="HX6" t="str">
        <f>C6</f>
        <v>Gas</v>
      </c>
      <c r="HY6">
        <f>CU6*FY6/100</f>
        <v>0</v>
      </c>
      <c r="HZ6">
        <f>(1/100)*SQRT(CV6^2*FY6^2+FZ6^2*CU6^2+CV6^2*FZ6^2)</f>
        <v>0</v>
      </c>
      <c r="IA6" t="e">
        <f>LN(HY6^2/SQRT(HY6^2+HZ6^2))</f>
        <v>#DIV/0!</v>
      </c>
      <c r="IB6" t="e">
        <f>SQRT(LN(HZ6^2/HY6^2+1))</f>
        <v>#DIV/0!</v>
      </c>
      <c r="IC6">
        <f>CN6*GC6/100</f>
        <v>0</v>
      </c>
      <c r="ID6" t="e">
        <f>EXP(IA6+NORMSINV(0.05)*IB6)</f>
        <v>#DIV/0!</v>
      </c>
      <c r="IE6" t="e">
        <f>EXP(IA6+NORMSINV(0.25)*IB6)</f>
        <v>#DIV/0!</v>
      </c>
      <c r="IF6" t="e">
        <f>EXP(IA6)</f>
        <v>#DIV/0!</v>
      </c>
      <c r="IG6" t="e">
        <f>EXP(IA6+NORMSINV(0.75)*IB6)</f>
        <v>#DIV/0!</v>
      </c>
      <c r="IH6" t="e">
        <f>EXP(IA6+NORMSINV(0.95)*IB6)</f>
        <v>#DIV/0!</v>
      </c>
      <c r="II6">
        <f>CT6*GI6/100</f>
        <v>0</v>
      </c>
      <c r="IJ6" t="str">
        <f>AA6</f>
        <v>Oklahoma</v>
      </c>
      <c r="IK6" t="str">
        <f>C6</f>
        <v>Gas</v>
      </c>
      <c r="IL6">
        <f>CU6*GL6/100</f>
        <v>0</v>
      </c>
      <c r="IM6">
        <f>(1/100)*SQRT(CV6^2*GL6^2+GM6^2*CU6^2+CV6^2*GM6^2)</f>
        <v>0</v>
      </c>
      <c r="IN6" t="e">
        <f>LN(IL6^2/SQRT(IL6^2+IM6^2))</f>
        <v>#DIV/0!</v>
      </c>
      <c r="IO6" t="e">
        <f>SQRT(LN(IM6^2/IL6^2+1))</f>
        <v>#DIV/0!</v>
      </c>
      <c r="IP6">
        <f>CN6*GP6/100</f>
        <v>0</v>
      </c>
      <c r="IQ6" t="e">
        <f>EXP(IN6+NORMSINV(0.05)*IO6)</f>
        <v>#DIV/0!</v>
      </c>
      <c r="IR6" t="e">
        <f>EXP(IN6+NORMSINV(0.25)*IO6)</f>
        <v>#DIV/0!</v>
      </c>
      <c r="IS6" t="e">
        <f>EXP(IN6)</f>
        <v>#DIV/0!</v>
      </c>
      <c r="IT6" t="e">
        <f>EXP(IN6+NORMSINV(0.75)*IO6)</f>
        <v>#DIV/0!</v>
      </c>
      <c r="IU6" t="e">
        <f>EXP(IN6+NORMSINV(0.95)*IO6)</f>
        <v>#DIV/0!</v>
      </c>
      <c r="IV6">
        <f>CT6*GV6/100</f>
        <v>0</v>
      </c>
    </row>
  </sheetData>
  <sheetProtection/>
  <mergeCells count="11">
    <mergeCell ref="L5:N5"/>
    <mergeCell ref="L6:N6"/>
    <mergeCell ref="AL5:AP5"/>
    <mergeCell ref="AL6:AP6"/>
    <mergeCell ref="CC3:CK3"/>
    <mergeCell ref="D3:I3"/>
    <mergeCell ref="AF3:AH3"/>
    <mergeCell ref="BR2:BZ2"/>
    <mergeCell ref="BR3:BZ3"/>
    <mergeCell ref="W3:Y3"/>
    <mergeCell ref="O2:Q2"/>
  </mergeCells>
  <printOptions gridLines="1" horizontalCentered="1"/>
  <pageMargins left="0.75" right="0.75" top="1" bottom="1" header="0.5" footer="0.5"/>
  <pageSetup horizontalDpi="600" verticalDpi="600" orientation="portrait" scale="90" r:id="rId1"/>
  <headerFooter alignWithMargins="0">
    <oddHeader>&amp;CACCESS</oddHeader>
  </headerFooter>
  <colBreaks count="21" manualBreakCount="21">
    <brk id="9" max="65535" man="1"/>
    <brk id="17" max="65535" man="1"/>
    <brk id="26" max="65535" man="1"/>
    <brk id="34" max="65535" man="1"/>
    <brk id="45" max="65535" man="1"/>
    <brk id="56" max="65535" man="1"/>
    <brk id="67" max="65535" man="1"/>
    <brk id="78" max="65535" man="1"/>
    <brk id="89" max="65535" man="1"/>
    <brk id="100" max="65535" man="1"/>
    <brk id="113" max="65535" man="1"/>
    <brk id="126" max="65535" man="1"/>
    <brk id="139" max="65535" man="1"/>
    <brk id="152" max="65535" man="1"/>
    <brk id="165" max="65535" man="1"/>
    <brk id="178" max="65535" man="1"/>
    <brk id="191" max="65535" man="1"/>
    <brk id="204" max="65535" man="1"/>
    <brk id="217" max="65535" man="1"/>
    <brk id="230" max="65535" man="1"/>
    <brk id="2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8.7109375" style="0" customWidth="1"/>
    <col min="3" max="3" width="4.28125" style="0" customWidth="1"/>
    <col min="6" max="7" width="0" style="0" hidden="1" customWidth="1"/>
    <col min="8" max="8" width="8.140625" style="0" customWidth="1"/>
    <col min="11" max="11" width="8.00390625" style="0" customWidth="1"/>
    <col min="14" max="14" width="8.28125" style="0" customWidth="1"/>
    <col min="15" max="15" width="9.421875" style="0" customWidth="1"/>
    <col min="16" max="16" width="4.28125" style="0" customWidth="1"/>
    <col min="19" max="20" width="0" style="0" hidden="1" customWidth="1"/>
    <col min="21" max="21" width="8.421875" style="0" customWidth="1"/>
    <col min="24" max="24" width="8.421875" style="0" customWidth="1"/>
    <col min="27" max="27" width="7.421875" style="0" customWidth="1"/>
    <col min="28" max="28" width="9.421875" style="0" customWidth="1"/>
    <col min="29" max="29" width="4.140625" style="0" customWidth="1"/>
    <col min="32" max="33" width="0" style="0" hidden="1" customWidth="1"/>
    <col min="34" max="34" width="8.421875" style="0" customWidth="1"/>
    <col min="35" max="35" width="12.28125" style="0" bestFit="1" customWidth="1"/>
    <col min="37" max="37" width="8.28125" style="0" customWidth="1"/>
    <col min="40" max="40" width="7.28125" style="0" customWidth="1"/>
    <col min="41" max="41" width="9.421875" style="0" customWidth="1"/>
    <col min="42" max="42" width="4.140625" style="0" customWidth="1"/>
    <col min="45" max="46" width="0" style="0" hidden="1" customWidth="1"/>
    <col min="47" max="47" width="8.28125" style="0" customWidth="1"/>
    <col min="50" max="50" width="8.28125" style="0" customWidth="1"/>
    <col min="53" max="53" width="7.140625" style="0" customWidth="1"/>
    <col min="54" max="54" width="5.8515625" style="0" customWidth="1"/>
    <col min="55" max="55" width="3.8515625" style="0" customWidth="1"/>
    <col min="58" max="59" width="0" style="0" hidden="1" customWidth="1"/>
    <col min="66" max="66" width="7.7109375" style="0" customWidth="1"/>
    <col min="67" max="67" width="6.00390625" style="0" customWidth="1"/>
    <col min="68" max="68" width="3.8515625" style="0" customWidth="1"/>
    <col min="71" max="72" width="0" style="0" hidden="1" customWidth="1"/>
    <col min="74" max="74" width="9.00390625" style="0" customWidth="1"/>
    <col min="76" max="76" width="8.421875" style="0" customWidth="1"/>
    <col min="79" max="79" width="7.7109375" style="0" customWidth="1"/>
    <col min="80" max="80" width="5.8515625" style="0" customWidth="1"/>
    <col min="81" max="81" width="4.00390625" style="0" customWidth="1"/>
    <col min="82" max="82" width="9.57421875" style="0" customWidth="1"/>
    <col min="83" max="83" width="9.28125" style="0" customWidth="1"/>
    <col min="84" max="85" width="0" style="0" hidden="1" customWidth="1"/>
    <col min="86" max="87" width="9.421875" style="0" customWidth="1"/>
    <col min="89" max="89" width="9.7109375" style="0" customWidth="1"/>
    <col min="92" max="92" width="8.421875" style="0" customWidth="1"/>
    <col min="93" max="93" width="6.00390625" style="0" customWidth="1"/>
    <col min="94" max="94" width="4.00390625" style="0" customWidth="1"/>
    <col min="97" max="98" width="0" style="0" hidden="1" customWidth="1"/>
    <col min="105" max="105" width="8.28125" style="0" customWidth="1"/>
    <col min="106" max="106" width="6.00390625" style="0" customWidth="1"/>
    <col min="107" max="107" width="4.00390625" style="0" customWidth="1"/>
    <col min="110" max="111" width="0" style="0" hidden="1" customWidth="1"/>
    <col min="112" max="112" width="8.28125" style="0" customWidth="1"/>
    <col min="115" max="115" width="8.140625" style="0" customWidth="1"/>
    <col min="118" max="118" width="7.7109375" style="0" customWidth="1"/>
    <col min="119" max="119" width="6.140625" style="0" customWidth="1"/>
    <col min="120" max="120" width="4.00390625" style="0" customWidth="1"/>
    <col min="121" max="121" width="9.57421875" style="0" customWidth="1"/>
    <col min="122" max="122" width="9.421875" style="0" customWidth="1"/>
    <col min="123" max="124" width="0" style="0" hidden="1" customWidth="1"/>
    <col min="125" max="125" width="10.00390625" style="0" customWidth="1"/>
    <col min="126" max="126" width="9.8515625" style="0" customWidth="1"/>
    <col min="127" max="127" width="10.140625" style="0" customWidth="1"/>
    <col min="128" max="128" width="10.421875" style="0" customWidth="1"/>
    <col min="129" max="129" width="10.140625" style="0" customWidth="1"/>
    <col min="130" max="130" width="9.8515625" style="0" customWidth="1"/>
    <col min="131" max="131" width="8.00390625" style="0" customWidth="1"/>
    <col min="132" max="132" width="6.00390625" style="0" customWidth="1"/>
    <col min="133" max="133" width="3.8515625" style="0" customWidth="1"/>
    <col min="134" max="134" width="9.421875" style="0" customWidth="1"/>
    <col min="135" max="135" width="9.7109375" style="0" customWidth="1"/>
    <col min="136" max="137" width="0" style="0" hidden="1" customWidth="1"/>
    <col min="139" max="139" width="10.421875" style="0" customWidth="1"/>
    <col min="140" max="140" width="10.140625" style="0" customWidth="1"/>
    <col min="141" max="141" width="10.421875" style="0" customWidth="1"/>
    <col min="142" max="143" width="9.8515625" style="0" customWidth="1"/>
    <col min="144" max="144" width="8.28125" style="0" customWidth="1"/>
    <col min="145" max="145" width="6.00390625" style="0" customWidth="1"/>
    <col min="146" max="146" width="3.8515625" style="0" customWidth="1"/>
    <col min="149" max="150" width="0" style="0" hidden="1" customWidth="1"/>
    <col min="154" max="154" width="8.28125" style="0" customWidth="1"/>
    <col min="157" max="157" width="8.140625" style="0" customWidth="1"/>
  </cols>
  <sheetData>
    <row r="1" spans="2:157" ht="12.75">
      <c r="B1" s="1" t="s">
        <v>115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62</v>
      </c>
      <c r="O1" s="1" t="s">
        <v>115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 t="s">
        <v>63</v>
      </c>
      <c r="AB1" s="1" t="s">
        <v>115</v>
      </c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 t="s">
        <v>64</v>
      </c>
      <c r="AO1" s="1" t="s">
        <v>115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 t="s">
        <v>65</v>
      </c>
      <c r="BB1" s="1" t="s">
        <v>116</v>
      </c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2" t="s">
        <v>66</v>
      </c>
      <c r="BO1" s="1" t="s">
        <v>116</v>
      </c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2" t="s">
        <v>67</v>
      </c>
      <c r="CB1" s="1" t="s">
        <v>116</v>
      </c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2" t="s">
        <v>68</v>
      </c>
      <c r="CO1" s="1" t="s">
        <v>116</v>
      </c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2" t="s">
        <v>69</v>
      </c>
      <c r="DB1" s="1" t="s">
        <v>117</v>
      </c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2" t="s">
        <v>70</v>
      </c>
      <c r="DO1" s="1" t="s">
        <v>117</v>
      </c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2" t="s">
        <v>71</v>
      </c>
      <c r="EB1" s="1" t="s">
        <v>117</v>
      </c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2" t="s">
        <v>72</v>
      </c>
      <c r="EO1" s="1" t="s">
        <v>117</v>
      </c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2" t="s">
        <v>73</v>
      </c>
    </row>
    <row r="2" spans="4:157" ht="12.75">
      <c r="D2" s="1" t="s">
        <v>24</v>
      </c>
      <c r="E2" s="1"/>
      <c r="F2" s="1"/>
      <c r="G2" s="1"/>
      <c r="H2" s="1"/>
      <c r="I2" s="1"/>
      <c r="J2" s="1"/>
      <c r="K2" s="1"/>
      <c r="L2" s="1"/>
      <c r="M2" s="1"/>
      <c r="N2" s="1"/>
      <c r="Q2" s="1" t="s">
        <v>87</v>
      </c>
      <c r="R2" s="1"/>
      <c r="S2" s="1"/>
      <c r="T2" s="1"/>
      <c r="U2" s="1"/>
      <c r="V2" s="1"/>
      <c r="W2" s="1"/>
      <c r="X2" s="1"/>
      <c r="Y2" s="1"/>
      <c r="Z2" s="1"/>
      <c r="AA2" s="1"/>
      <c r="AD2" s="1" t="s">
        <v>25</v>
      </c>
      <c r="AE2" s="1"/>
      <c r="AF2" s="1"/>
      <c r="AG2" s="1"/>
      <c r="AH2" s="1"/>
      <c r="AI2" s="1"/>
      <c r="AJ2" s="1"/>
      <c r="AK2" s="1"/>
      <c r="AL2" s="1"/>
      <c r="AM2" s="1"/>
      <c r="AN2" s="1"/>
      <c r="AQ2" s="1" t="s">
        <v>26</v>
      </c>
      <c r="AR2" s="1"/>
      <c r="AS2" s="1"/>
      <c r="AT2" s="1"/>
      <c r="AU2" s="1"/>
      <c r="AV2" s="1"/>
      <c r="AW2" s="1"/>
      <c r="AX2" s="1"/>
      <c r="AY2" s="1"/>
      <c r="AZ2" s="1"/>
      <c r="BA2" s="1"/>
      <c r="BD2" s="1" t="s">
        <v>24</v>
      </c>
      <c r="BE2" s="1"/>
      <c r="BF2" s="1"/>
      <c r="BG2" s="1"/>
      <c r="BH2" s="1"/>
      <c r="BI2" s="1"/>
      <c r="BJ2" s="1"/>
      <c r="BK2" s="1"/>
      <c r="BL2" s="1"/>
      <c r="BM2" s="1"/>
      <c r="BN2" s="1"/>
      <c r="BQ2" s="1" t="s">
        <v>87</v>
      </c>
      <c r="BR2" s="1"/>
      <c r="BS2" s="1"/>
      <c r="BT2" s="1"/>
      <c r="BU2" s="1"/>
      <c r="BV2" s="1"/>
      <c r="BW2" s="1"/>
      <c r="BX2" s="1"/>
      <c r="BY2" s="1"/>
      <c r="BZ2" s="1"/>
      <c r="CA2" s="1"/>
      <c r="CD2" s="1" t="s">
        <v>25</v>
      </c>
      <c r="CE2" s="1"/>
      <c r="CF2" s="1"/>
      <c r="CG2" s="1"/>
      <c r="CH2" s="1"/>
      <c r="CI2" s="1"/>
      <c r="CJ2" s="1"/>
      <c r="CK2" s="1"/>
      <c r="CL2" s="1"/>
      <c r="CM2" s="1"/>
      <c r="CN2" s="1"/>
      <c r="CQ2" s="1" t="s">
        <v>26</v>
      </c>
      <c r="CR2" s="1"/>
      <c r="CS2" s="1"/>
      <c r="CT2" s="1"/>
      <c r="CU2" s="1"/>
      <c r="CV2" s="1"/>
      <c r="CW2" s="1"/>
      <c r="CX2" s="1"/>
      <c r="CY2" s="1"/>
      <c r="CZ2" s="1"/>
      <c r="DA2" s="1"/>
      <c r="DD2" s="1" t="s">
        <v>24</v>
      </c>
      <c r="DE2" s="1"/>
      <c r="DF2" s="1"/>
      <c r="DG2" s="1"/>
      <c r="DH2" s="1"/>
      <c r="DI2" s="1"/>
      <c r="DJ2" s="1"/>
      <c r="DK2" s="1"/>
      <c r="DL2" s="1"/>
      <c r="DM2" s="1"/>
      <c r="DN2" s="1"/>
      <c r="DQ2" s="1" t="s">
        <v>87</v>
      </c>
      <c r="DR2" s="1"/>
      <c r="DS2" s="1"/>
      <c r="DT2" s="1"/>
      <c r="DU2" s="1"/>
      <c r="DV2" s="1"/>
      <c r="DW2" s="1"/>
      <c r="DX2" s="1"/>
      <c r="DY2" s="1"/>
      <c r="DZ2" s="1"/>
      <c r="EA2" s="1"/>
      <c r="ED2" s="1" t="s">
        <v>25</v>
      </c>
      <c r="EE2" s="1"/>
      <c r="EF2" s="1"/>
      <c r="EG2" s="1"/>
      <c r="EH2" s="1"/>
      <c r="EI2" s="1"/>
      <c r="EJ2" s="1"/>
      <c r="EK2" s="1"/>
      <c r="EL2" s="1"/>
      <c r="EM2" s="1"/>
      <c r="EN2" s="1"/>
      <c r="EQ2" s="1" t="s">
        <v>26</v>
      </c>
      <c r="ER2" s="1"/>
      <c r="ES2" s="1"/>
      <c r="ET2" s="1"/>
      <c r="EU2" s="1"/>
      <c r="EV2" s="1"/>
      <c r="EW2" s="1"/>
      <c r="EX2" s="1"/>
      <c r="EY2" s="1"/>
      <c r="EZ2" s="1"/>
      <c r="FA2" s="1"/>
    </row>
    <row r="3" spans="1:157" ht="12.75">
      <c r="A3" s="5" t="s">
        <v>90</v>
      </c>
      <c r="D3" s="1" t="s">
        <v>86</v>
      </c>
      <c r="E3" s="1"/>
      <c r="F3" s="1"/>
      <c r="G3" s="1"/>
      <c r="H3" s="1"/>
      <c r="I3" s="1"/>
      <c r="J3" s="1"/>
      <c r="K3" s="1"/>
      <c r="L3" s="1"/>
      <c r="M3" s="1"/>
      <c r="N3" s="1"/>
      <c r="Q3" s="1" t="s">
        <v>28</v>
      </c>
      <c r="R3" s="1"/>
      <c r="S3" s="1"/>
      <c r="T3" s="1"/>
      <c r="U3" s="1"/>
      <c r="V3" s="1"/>
      <c r="W3" s="1"/>
      <c r="X3" s="1"/>
      <c r="Y3" s="1"/>
      <c r="Z3" s="1"/>
      <c r="AA3" s="1"/>
      <c r="AD3" s="1" t="s">
        <v>29</v>
      </c>
      <c r="AE3" s="1"/>
      <c r="AF3" s="1"/>
      <c r="AG3" s="1"/>
      <c r="AH3" s="1"/>
      <c r="AI3" s="1"/>
      <c r="AJ3" s="1"/>
      <c r="AK3" s="1"/>
      <c r="AL3" s="1"/>
      <c r="AM3" s="1"/>
      <c r="AN3" s="1"/>
      <c r="AQ3" s="1" t="s">
        <v>30</v>
      </c>
      <c r="AR3" s="1"/>
      <c r="AS3" s="1"/>
      <c r="AT3" s="1"/>
      <c r="AU3" s="1"/>
      <c r="AV3" s="1"/>
      <c r="AW3" s="1"/>
      <c r="AX3" s="1"/>
      <c r="AY3" s="1"/>
      <c r="AZ3" s="1"/>
      <c r="BA3" s="1"/>
      <c r="BD3" s="1" t="s">
        <v>86</v>
      </c>
      <c r="BE3" s="1"/>
      <c r="BF3" s="1"/>
      <c r="BG3" s="1"/>
      <c r="BH3" s="1"/>
      <c r="BI3" s="1"/>
      <c r="BJ3" s="1"/>
      <c r="BK3" s="1"/>
      <c r="BL3" s="1"/>
      <c r="BM3" s="1"/>
      <c r="BN3" s="1"/>
      <c r="BQ3" s="1" t="s">
        <v>28</v>
      </c>
      <c r="BR3" s="1"/>
      <c r="BS3" s="1"/>
      <c r="BT3" s="1"/>
      <c r="BU3" s="1"/>
      <c r="BV3" s="1"/>
      <c r="BW3" s="1"/>
      <c r="BX3" s="1"/>
      <c r="BY3" s="1"/>
      <c r="BZ3" s="1"/>
      <c r="CA3" s="1"/>
      <c r="CD3" s="1" t="s">
        <v>29</v>
      </c>
      <c r="CE3" s="1"/>
      <c r="CF3" s="1"/>
      <c r="CG3" s="1"/>
      <c r="CH3" s="1"/>
      <c r="CI3" s="1"/>
      <c r="CJ3" s="1"/>
      <c r="CK3" s="1"/>
      <c r="CL3" s="1"/>
      <c r="CM3" s="1"/>
      <c r="CN3" s="1"/>
      <c r="CQ3" s="1" t="s">
        <v>30</v>
      </c>
      <c r="CR3" s="1"/>
      <c r="CS3" s="1"/>
      <c r="CT3" s="1"/>
      <c r="CU3" s="1"/>
      <c r="CV3" s="1"/>
      <c r="CW3" s="1"/>
      <c r="CX3" s="1"/>
      <c r="CY3" s="1"/>
      <c r="CZ3" s="1"/>
      <c r="DA3" s="1"/>
      <c r="DD3" s="1" t="s">
        <v>86</v>
      </c>
      <c r="DE3" s="1"/>
      <c r="DF3" s="1"/>
      <c r="DG3" s="1"/>
      <c r="DH3" s="1"/>
      <c r="DI3" s="1"/>
      <c r="DJ3" s="1"/>
      <c r="DK3" s="1"/>
      <c r="DL3" s="1"/>
      <c r="DM3" s="1"/>
      <c r="DN3" s="1"/>
      <c r="DQ3" s="1" t="s">
        <v>28</v>
      </c>
      <c r="DR3" s="1"/>
      <c r="DS3" s="1"/>
      <c r="DT3" s="1"/>
      <c r="DU3" s="1"/>
      <c r="DV3" s="1"/>
      <c r="DW3" s="1"/>
      <c r="DX3" s="1"/>
      <c r="DY3" s="1"/>
      <c r="DZ3" s="1"/>
      <c r="EA3" s="1"/>
      <c r="ED3" s="1" t="s">
        <v>29</v>
      </c>
      <c r="EE3" s="1"/>
      <c r="EF3" s="1"/>
      <c r="EG3" s="1"/>
      <c r="EH3" s="1"/>
      <c r="EI3" s="1"/>
      <c r="EJ3" s="1"/>
      <c r="EK3" s="1"/>
      <c r="EL3" s="1"/>
      <c r="EM3" s="1"/>
      <c r="EN3" s="1"/>
      <c r="EQ3" s="1" t="s">
        <v>30</v>
      </c>
      <c r="ER3" s="1"/>
      <c r="ES3" s="1"/>
      <c r="ET3" s="1"/>
      <c r="EU3" s="1"/>
      <c r="EV3" s="1"/>
      <c r="EW3" s="1"/>
      <c r="EX3" s="1"/>
      <c r="EY3" s="1"/>
      <c r="EZ3" s="1"/>
      <c r="FA3" s="1"/>
    </row>
    <row r="4" spans="1:157" s="3" customFormat="1" ht="12.75">
      <c r="A4" s="3" t="s">
        <v>56</v>
      </c>
      <c r="B4" s="3" t="s">
        <v>31</v>
      </c>
      <c r="C4" s="3" t="s">
        <v>36</v>
      </c>
      <c r="D4" s="3" t="s">
        <v>44</v>
      </c>
      <c r="E4" s="3" t="s">
        <v>45</v>
      </c>
      <c r="F4" s="3" t="s">
        <v>46</v>
      </c>
      <c r="G4" s="3" t="s">
        <v>47</v>
      </c>
      <c r="H4" s="3" t="s">
        <v>37</v>
      </c>
      <c r="I4" s="3" t="s">
        <v>38</v>
      </c>
      <c r="J4" s="3" t="s">
        <v>39</v>
      </c>
      <c r="K4" s="3" t="s">
        <v>40</v>
      </c>
      <c r="L4" s="3" t="s">
        <v>41</v>
      </c>
      <c r="M4" s="3" t="s">
        <v>42</v>
      </c>
      <c r="N4" s="3" t="s">
        <v>43</v>
      </c>
      <c r="O4" s="3" t="s">
        <v>31</v>
      </c>
      <c r="P4" s="3" t="s">
        <v>36</v>
      </c>
      <c r="Q4" s="3" t="s">
        <v>44</v>
      </c>
      <c r="R4" s="3" t="s">
        <v>45</v>
      </c>
      <c r="S4" s="3" t="s">
        <v>46</v>
      </c>
      <c r="T4" s="3" t="s">
        <v>47</v>
      </c>
      <c r="U4" s="3" t="s">
        <v>37</v>
      </c>
      <c r="V4" s="3" t="s">
        <v>38</v>
      </c>
      <c r="W4" s="3" t="s">
        <v>39</v>
      </c>
      <c r="X4" s="3" t="s">
        <v>40</v>
      </c>
      <c r="Y4" s="3" t="s">
        <v>41</v>
      </c>
      <c r="Z4" s="3" t="s">
        <v>42</v>
      </c>
      <c r="AA4" s="3" t="s">
        <v>43</v>
      </c>
      <c r="AB4" s="3" t="s">
        <v>31</v>
      </c>
      <c r="AC4" s="3" t="s">
        <v>36</v>
      </c>
      <c r="AD4" s="3" t="s">
        <v>44</v>
      </c>
      <c r="AE4" s="3" t="s">
        <v>45</v>
      </c>
      <c r="AF4" s="3" t="s">
        <v>46</v>
      </c>
      <c r="AG4" s="3" t="s">
        <v>47</v>
      </c>
      <c r="AH4" s="3" t="s">
        <v>37</v>
      </c>
      <c r="AI4" s="3" t="s">
        <v>38</v>
      </c>
      <c r="AJ4" s="3" t="s">
        <v>39</v>
      </c>
      <c r="AK4" s="3" t="s">
        <v>40</v>
      </c>
      <c r="AL4" s="3" t="s">
        <v>41</v>
      </c>
      <c r="AM4" s="3" t="s">
        <v>42</v>
      </c>
      <c r="AN4" s="3" t="s">
        <v>43</v>
      </c>
      <c r="AO4" s="3" t="s">
        <v>31</v>
      </c>
      <c r="AP4" s="3" t="s">
        <v>36</v>
      </c>
      <c r="AQ4" s="3" t="s">
        <v>44</v>
      </c>
      <c r="AR4" s="3" t="s">
        <v>45</v>
      </c>
      <c r="AS4" s="3" t="s">
        <v>46</v>
      </c>
      <c r="AT4" s="3" t="s">
        <v>47</v>
      </c>
      <c r="AU4" s="3" t="s">
        <v>37</v>
      </c>
      <c r="AV4" s="3" t="s">
        <v>38</v>
      </c>
      <c r="AW4" s="3" t="s">
        <v>39</v>
      </c>
      <c r="AX4" s="3" t="s">
        <v>40</v>
      </c>
      <c r="AY4" s="3" t="s">
        <v>41</v>
      </c>
      <c r="AZ4" s="3" t="s">
        <v>42</v>
      </c>
      <c r="BA4" s="3" t="s">
        <v>43</v>
      </c>
      <c r="BB4" s="4" t="s">
        <v>91</v>
      </c>
      <c r="BC4" s="3" t="s">
        <v>36</v>
      </c>
      <c r="BD4" s="3" t="s">
        <v>44</v>
      </c>
      <c r="BE4" s="3" t="s">
        <v>45</v>
      </c>
      <c r="BF4" s="3" t="s">
        <v>46</v>
      </c>
      <c r="BG4" s="3" t="s">
        <v>47</v>
      </c>
      <c r="BH4" s="3" t="s">
        <v>37</v>
      </c>
      <c r="BI4" s="3" t="s">
        <v>38</v>
      </c>
      <c r="BJ4" s="3" t="s">
        <v>39</v>
      </c>
      <c r="BK4" s="3" t="s">
        <v>40</v>
      </c>
      <c r="BL4" s="3" t="s">
        <v>41</v>
      </c>
      <c r="BM4" s="3" t="s">
        <v>42</v>
      </c>
      <c r="BN4" s="3" t="s">
        <v>43</v>
      </c>
      <c r="BO4" s="3" t="s">
        <v>91</v>
      </c>
      <c r="BP4" s="3" t="s">
        <v>36</v>
      </c>
      <c r="BQ4" s="3" t="s">
        <v>44</v>
      </c>
      <c r="BR4" s="3" t="s">
        <v>45</v>
      </c>
      <c r="BS4" s="3" t="s">
        <v>46</v>
      </c>
      <c r="BT4" s="3" t="s">
        <v>47</v>
      </c>
      <c r="BU4" s="3" t="s">
        <v>37</v>
      </c>
      <c r="BV4" s="3" t="s">
        <v>38</v>
      </c>
      <c r="BW4" s="3" t="s">
        <v>39</v>
      </c>
      <c r="BX4" s="3" t="s">
        <v>40</v>
      </c>
      <c r="BY4" s="3" t="s">
        <v>41</v>
      </c>
      <c r="BZ4" s="3" t="s">
        <v>42</v>
      </c>
      <c r="CA4" s="3" t="s">
        <v>43</v>
      </c>
      <c r="CB4" s="3" t="s">
        <v>91</v>
      </c>
      <c r="CC4" s="3" t="s">
        <v>36</v>
      </c>
      <c r="CD4" s="3" t="s">
        <v>44</v>
      </c>
      <c r="CE4" s="3" t="s">
        <v>45</v>
      </c>
      <c r="CF4" s="3" t="s">
        <v>46</v>
      </c>
      <c r="CG4" s="3" t="s">
        <v>47</v>
      </c>
      <c r="CH4" s="3" t="s">
        <v>37</v>
      </c>
      <c r="CI4" s="3" t="s">
        <v>38</v>
      </c>
      <c r="CJ4" s="3" t="s">
        <v>39</v>
      </c>
      <c r="CK4" s="3" t="s">
        <v>40</v>
      </c>
      <c r="CL4" s="3" t="s">
        <v>41</v>
      </c>
      <c r="CM4" s="3" t="s">
        <v>42</v>
      </c>
      <c r="CN4" s="3" t="s">
        <v>43</v>
      </c>
      <c r="CO4" s="3" t="s">
        <v>91</v>
      </c>
      <c r="CP4" s="3" t="s">
        <v>36</v>
      </c>
      <c r="CQ4" s="3" t="s">
        <v>44</v>
      </c>
      <c r="CR4" s="3" t="s">
        <v>45</v>
      </c>
      <c r="CS4" s="3" t="s">
        <v>46</v>
      </c>
      <c r="CT4" s="3" t="s">
        <v>47</v>
      </c>
      <c r="CU4" s="3" t="s">
        <v>37</v>
      </c>
      <c r="CV4" s="3" t="s">
        <v>38</v>
      </c>
      <c r="CW4" s="3" t="s">
        <v>39</v>
      </c>
      <c r="CX4" s="3" t="s">
        <v>40</v>
      </c>
      <c r="CY4" s="3" t="s">
        <v>41</v>
      </c>
      <c r="CZ4" s="3" t="s">
        <v>42</v>
      </c>
      <c r="DA4" s="3" t="s">
        <v>43</v>
      </c>
      <c r="DB4" s="3" t="s">
        <v>91</v>
      </c>
      <c r="DC4" s="3" t="s">
        <v>36</v>
      </c>
      <c r="DD4" s="3" t="s">
        <v>44</v>
      </c>
      <c r="DE4" s="3" t="s">
        <v>45</v>
      </c>
      <c r="DF4" s="3" t="s">
        <v>46</v>
      </c>
      <c r="DG4" s="3" t="s">
        <v>47</v>
      </c>
      <c r="DH4" s="3" t="s">
        <v>37</v>
      </c>
      <c r="DI4" s="3" t="s">
        <v>38</v>
      </c>
      <c r="DJ4" s="3" t="s">
        <v>39</v>
      </c>
      <c r="DK4" s="3" t="s">
        <v>40</v>
      </c>
      <c r="DL4" s="3" t="s">
        <v>41</v>
      </c>
      <c r="DM4" s="3" t="s">
        <v>42</v>
      </c>
      <c r="DN4" s="3" t="s">
        <v>43</v>
      </c>
      <c r="DO4" s="3" t="s">
        <v>91</v>
      </c>
      <c r="DP4" s="3" t="s">
        <v>36</v>
      </c>
      <c r="DQ4" s="3" t="s">
        <v>44</v>
      </c>
      <c r="DR4" s="3" t="s">
        <v>45</v>
      </c>
      <c r="DS4" s="3" t="s">
        <v>46</v>
      </c>
      <c r="DT4" s="3" t="s">
        <v>47</v>
      </c>
      <c r="DU4" s="3" t="s">
        <v>37</v>
      </c>
      <c r="DV4" s="3" t="s">
        <v>38</v>
      </c>
      <c r="DW4" s="3" t="s">
        <v>39</v>
      </c>
      <c r="DX4" s="3" t="s">
        <v>40</v>
      </c>
      <c r="DY4" s="3" t="s">
        <v>41</v>
      </c>
      <c r="DZ4" s="3" t="s">
        <v>42</v>
      </c>
      <c r="EA4" s="3" t="s">
        <v>43</v>
      </c>
      <c r="EB4" s="3" t="s">
        <v>91</v>
      </c>
      <c r="EC4" s="3" t="s">
        <v>36</v>
      </c>
      <c r="ED4" s="3" t="s">
        <v>44</v>
      </c>
      <c r="EE4" s="3" t="s">
        <v>45</v>
      </c>
      <c r="EF4" s="3" t="s">
        <v>46</v>
      </c>
      <c r="EG4" s="3" t="s">
        <v>47</v>
      </c>
      <c r="EH4" s="3" t="s">
        <v>37</v>
      </c>
      <c r="EI4" s="3" t="s">
        <v>38</v>
      </c>
      <c r="EJ4" s="3" t="s">
        <v>39</v>
      </c>
      <c r="EK4" s="3" t="s">
        <v>40</v>
      </c>
      <c r="EL4" s="3" t="s">
        <v>41</v>
      </c>
      <c r="EM4" s="3" t="s">
        <v>42</v>
      </c>
      <c r="EN4" s="3" t="s">
        <v>43</v>
      </c>
      <c r="EO4" s="3" t="s">
        <v>91</v>
      </c>
      <c r="EP4" s="3" t="s">
        <v>36</v>
      </c>
      <c r="EQ4" s="3" t="s">
        <v>44</v>
      </c>
      <c r="ER4" s="3" t="s">
        <v>45</v>
      </c>
      <c r="ES4" s="3" t="s">
        <v>46</v>
      </c>
      <c r="ET4" s="3" t="s">
        <v>47</v>
      </c>
      <c r="EU4" s="3" t="s">
        <v>37</v>
      </c>
      <c r="EV4" s="3" t="s">
        <v>38</v>
      </c>
      <c r="EW4" s="3" t="s">
        <v>39</v>
      </c>
      <c r="EX4" s="3" t="s">
        <v>40</v>
      </c>
      <c r="EY4" s="3" t="s">
        <v>41</v>
      </c>
      <c r="EZ4" s="3" t="s">
        <v>42</v>
      </c>
      <c r="FA4" s="3" t="s">
        <v>43</v>
      </c>
    </row>
    <row r="5" spans="1:157" ht="12.75">
      <c r="A5">
        <f>cond!G5</f>
        <v>1</v>
      </c>
      <c r="B5">
        <f>cond!B5</f>
        <v>50490170</v>
      </c>
      <c r="C5" t="str">
        <f>cond!C5</f>
        <v>Oil</v>
      </c>
      <c r="D5">
        <f>A5*cond!CY5</f>
        <v>853.3819580092343</v>
      </c>
      <c r="E5">
        <f>SQRT(A5*cond!CZ5^2+A5*(1-A5)*cond!CY5^2)</f>
        <v>440.8323797126197</v>
      </c>
      <c r="F5">
        <f>cond!DA5</f>
        <v>6.630942210417412</v>
      </c>
      <c r="G5">
        <f>cond!DB5</f>
        <v>0.48634353867763835</v>
      </c>
      <c r="H5">
        <f>IF(A5=1,cond!DC5,0)</f>
        <v>0.464</v>
      </c>
      <c r="I5">
        <f>IF(A5&gt;0.95,EXP(F5+NORMSINV(1-0.95/A5)*G5),0)</f>
        <v>340.69180701719625</v>
      </c>
      <c r="J5">
        <f>IF(A5&gt;0.75,EXP(F5+NORMSINV(1-0.75/A5)*G5),0)</f>
        <v>546.1580913899926</v>
      </c>
      <c r="K5">
        <f>IF(A5&gt;0.5,EXP(F5+NORMSINV(1-0.5/A5)*G5),0)</f>
        <v>758.196214570981</v>
      </c>
      <c r="L5">
        <f>IF(A5&gt;0.25,EXP(F5+NORMSINV(1-0.25/A5)*G5),0)</f>
        <v>1052.555127997319</v>
      </c>
      <c r="M5">
        <f>IF(A5&gt;0.05,EXP(F5+NORMSINV(1-0.05/A5)*G5),0)</f>
        <v>1687.3358500245624</v>
      </c>
      <c r="N5">
        <f>cond!DI5</f>
        <v>90605</v>
      </c>
      <c r="O5">
        <f>cond!B5</f>
        <v>50490170</v>
      </c>
      <c r="P5" t="str">
        <f>cond!C5</f>
        <v>Oil</v>
      </c>
      <c r="Q5">
        <f>A5*cond!DL5</f>
        <v>1706.7639160184685</v>
      </c>
      <c r="R5">
        <f>SQRT(A5*cond!DM5^2+A5*(1-A5)*cond!DL5^2)</f>
        <v>964.9344054850703</v>
      </c>
      <c r="S5">
        <f>cond!DN5</f>
        <v>7.303678393717229</v>
      </c>
      <c r="T5">
        <f>cond!DO5</f>
        <v>0.5266422240323525</v>
      </c>
      <c r="U5">
        <f>IF(A5=1,cond!DP5,0)</f>
        <v>0.464</v>
      </c>
      <c r="V5">
        <f>IF(A5&gt;0.95,EXP(S5+NORMSINV(1-0.95/A5)*T5),0)</f>
        <v>624.7983898214655</v>
      </c>
      <c r="W5">
        <f>IF(A5&gt;0.75,EXP(S5+NORMSINV(1-0.75/A5)*T5),0)</f>
        <v>1041.5482755664764</v>
      </c>
      <c r="X5">
        <f>IF(A5&gt;0.5,EXP(S5+NORMSINV(1-0.5/A5)*T5),0)</f>
        <v>1485.7550804869209</v>
      </c>
      <c r="Y5">
        <f>IF(A5&gt;0.25,EXP(S5+NORMSINV(1-0.25/A5)*T5),0)</f>
        <v>2119.410315371221</v>
      </c>
      <c r="Z5">
        <f>IF(A5&gt;0.05,EXP(S5+NORMSINV(1-0.05/A5)*T5),0)</f>
        <v>3533.088745352681</v>
      </c>
      <c r="AA5">
        <f>cond!DV5</f>
        <v>271815</v>
      </c>
      <c r="AB5">
        <f>cond!B5</f>
        <v>50490170</v>
      </c>
      <c r="AC5" t="str">
        <f>cond!C5</f>
        <v>Oil</v>
      </c>
      <c r="AD5">
        <f>A5*cond!DY5</f>
        <v>34.135278320369366</v>
      </c>
      <c r="AE5">
        <f>SQRT(A5*cond!DZ5^2+A5*(1-A5)*cond!DY5^2)</f>
        <v>20.89278313885896</v>
      </c>
      <c r="AF5">
        <f>cond!EA5</f>
        <v>3.3712443910289553</v>
      </c>
      <c r="AG5">
        <f>cond!EB5</f>
        <v>0.5640691683242383</v>
      </c>
      <c r="AH5">
        <f>IF(A5=1,cond!EC5,0)</f>
        <v>0.004640000000000001</v>
      </c>
      <c r="AI5">
        <f>IF(A5&gt;0.95,EXP(AF5+NORMSINV(1-0.95/A5)*AG5),0)</f>
        <v>11.5124973760472</v>
      </c>
      <c r="AJ5">
        <f>IF(A5&gt;0.75,EXP(AF5+NORMSINV(1-0.75/A5)*AG5),0)</f>
        <v>19.90130920162107</v>
      </c>
      <c r="AK5">
        <f>IF(A5&gt;0.5,EXP(AF5+NORMSINV(1-0.5/A5)*AG5),0)</f>
        <v>29.11473463952566</v>
      </c>
      <c r="AL5">
        <f>IF(A5&gt;0.25,EXP(AF5+NORMSINV(1-0.25/A5)*AG5),0)</f>
        <v>42.59356831966352</v>
      </c>
      <c r="AM5">
        <f>IF(A5&gt;0.05,EXP(AF5+NORMSINV(1-0.05/A5)*AG5),0)</f>
        <v>73.63022508857594</v>
      </c>
      <c r="AN5">
        <f>cond!EI5</f>
        <v>8154.45</v>
      </c>
      <c r="AO5">
        <f>cond!B5</f>
        <v>50490170</v>
      </c>
      <c r="AP5" t="str">
        <f>cond!C5</f>
        <v>Oil</v>
      </c>
      <c r="AQ5">
        <f>A5*cond!EL5</f>
        <v>1171.9778889993484</v>
      </c>
      <c r="AR5">
        <f>SQRT(A5*cond!EM5^2+A5*(1-A5)*cond!EL5^2)</f>
        <v>609.8712779768201</v>
      </c>
      <c r="AS5">
        <f>cond!EN5</f>
        <v>6.946627523997864</v>
      </c>
      <c r="AT5">
        <f>cond!EO5</f>
        <v>0.4895315718513291</v>
      </c>
      <c r="AU5">
        <f>IF(A5=1,cond!EP5,0)</f>
        <v>0.5459733333333334</v>
      </c>
      <c r="AV5">
        <f>IF(A5&gt;0.95,EXP(AS5+NORMSINV(1-0.95/A5)*AT5),0)</f>
        <v>464.7128753610407</v>
      </c>
      <c r="AW5">
        <f>IF(A5&gt;0.75,EXP(AS5+NORMSINV(1-0.75/A5)*AT5),0)</f>
        <v>747.2826519685387</v>
      </c>
      <c r="AX5">
        <f>IF(A5&gt;0.5,EXP(AS5+NORMSINV(1-0.5/A5)*AT5),0)</f>
        <v>1039.637656273232</v>
      </c>
      <c r="AY5">
        <f>IF(A5&gt;0.25,EXP(AS5+NORMSINV(1-0.25/A5)*AT5),0)</f>
        <v>1446.3689923672998</v>
      </c>
      <c r="AZ5">
        <f>IF(A5&gt;0.05,EXP(AS5+NORMSINV(1-0.05/A5)*AT5),0)</f>
        <v>2325.8371214732906</v>
      </c>
      <c r="BA5">
        <f>cond!EV5</f>
        <v>144061.94999999998</v>
      </c>
      <c r="BB5" t="str">
        <f>cond!AA5</f>
        <v>Texas</v>
      </c>
      <c r="BC5" t="str">
        <f>cond!C5</f>
        <v>Oil</v>
      </c>
      <c r="BD5">
        <f>A5*cond!EY5</f>
        <v>502.47129687583714</v>
      </c>
      <c r="BE5">
        <f>SQRT(A5*cond!EZ5^2+A5*(1-A5)*cond!EY5^2)</f>
        <v>259.5621051747905</v>
      </c>
      <c r="BF5">
        <f>cond!FA5</f>
        <v>6.101273498849941</v>
      </c>
      <c r="BG5">
        <f>cond!FB5</f>
        <v>0.48634353867763835</v>
      </c>
      <c r="BH5">
        <f>IF(A5=1,cond!FC5,0)</f>
        <v>0.27320320000000003</v>
      </c>
      <c r="BI5">
        <f>IF(A5&gt;0.95,EXP(BF5+NORMSINV(1-0.95/A5)*BG5),0)</f>
        <v>200.5993359717251</v>
      </c>
      <c r="BJ5">
        <f>IF(A5&gt;0.75,EXP(BF5+NORMSINV(1-0.75/A5)*BG5),0)</f>
        <v>321.57788421042756</v>
      </c>
      <c r="BK5">
        <f>IF(A5&gt;0.5,EXP(BF5+NORMSINV(1-0.5/A5)*BG5),0)</f>
        <v>446.4259311393935</v>
      </c>
      <c r="BL5">
        <f>IF(A5&gt;0.25,EXP(BF5+NORMSINV(1-0.25/A5)*BG5),0)</f>
        <v>619.7444593648213</v>
      </c>
      <c r="BM5">
        <f>IF(A5&gt;0.05,EXP(BF5+NORMSINV(1-0.05/A5)*BG5),0)</f>
        <v>993.5033484944622</v>
      </c>
      <c r="BN5">
        <f>cond!FI5</f>
        <v>53348.224</v>
      </c>
      <c r="BO5" t="str">
        <f>cond!AA5</f>
        <v>Texas</v>
      </c>
      <c r="BP5" t="str">
        <f>cond!C5</f>
        <v>Oil</v>
      </c>
      <c r="BQ5">
        <f>A5*cond!FL5</f>
        <v>1004.9425937516743</v>
      </c>
      <c r="BR5">
        <f>SQRT(A5*cond!FM5^2+A5*(1-A5)*cond!FL5^2)</f>
        <v>568.1533779496094</v>
      </c>
      <c r="BS5">
        <f>cond!FN5</f>
        <v>6.774009682149758</v>
      </c>
      <c r="BT5">
        <f>cond!FO5</f>
        <v>0.5266422240323525</v>
      </c>
      <c r="BU5">
        <f>IF(A5=1,cond!FP5,0)</f>
        <v>0.27320320000000003</v>
      </c>
      <c r="BV5">
        <f>IF(A5&gt;0.95,EXP(BS5+NORMSINV(1-0.95/A5)*BT5),0)</f>
        <v>367.8812919268789</v>
      </c>
      <c r="BW5">
        <f>IF(A5&gt;0.75,EXP(BS5+NORMSINV(1-0.75/A5)*BT5),0)</f>
        <v>613.2636246535411</v>
      </c>
      <c r="BX5">
        <f>IF(A5&gt;0.5,EXP(BS5+NORMSINV(1-0.5/A5)*BT5),0)</f>
        <v>874.8125913906989</v>
      </c>
      <c r="BY5">
        <f>IF(A5&gt;0.25,EXP(BS5+NORMSINV(1-0.25/A5)*BT5),0)</f>
        <v>1247.9087936905746</v>
      </c>
      <c r="BZ5">
        <f>IF(A5&gt;0.05,EXP(BS5+NORMSINV(1-0.05/A5)*BT5),0)</f>
        <v>2080.282653263658</v>
      </c>
      <c r="CA5">
        <f>cond!FV5</f>
        <v>160044.67200000002</v>
      </c>
      <c r="CB5" t="str">
        <f>cond!AA5</f>
        <v>Texas</v>
      </c>
      <c r="CC5" t="str">
        <f>cond!C5</f>
        <v>Oil</v>
      </c>
      <c r="CD5">
        <f>A5*cond!FY5</f>
        <v>20.098851875033482</v>
      </c>
      <c r="CE5">
        <f>SQRT(A5*cond!FZ5^2+A5*(1-A5)*cond!FY5^2)</f>
        <v>12.301670712160156</v>
      </c>
      <c r="CF5">
        <f>cond!GA5</f>
        <v>2.8415756794614846</v>
      </c>
      <c r="CG5">
        <f>cond!GB5</f>
        <v>0.5640691683242383</v>
      </c>
      <c r="CH5">
        <f>IF(A5=1,cond!GC5,0)</f>
        <v>0.002732032000000001</v>
      </c>
      <c r="CI5">
        <f>IF(A5&gt;0.95,EXP(CF5+NORMSINV(1-0.95/A5)*CG5),0)</f>
        <v>6.77855845501659</v>
      </c>
      <c r="CJ5">
        <f>IF(A5&gt;0.75,EXP(CF5+NORMSINV(1-0.75/A5)*CG5),0)</f>
        <v>11.717890857914485</v>
      </c>
      <c r="CK5">
        <f>IF(A5&gt;0.5,EXP(CF5+NORMSINV(1-0.5/A5)*CG5),0)</f>
        <v>17.142755755752706</v>
      </c>
      <c r="CL5">
        <f>IF(A5&gt;0.25,EXP(CF5+NORMSINV(1-0.25/A5)*CG5),0)</f>
        <v>25.079093026617873</v>
      </c>
      <c r="CM5">
        <f>IF(A5&gt;0.05,EXP(CF5+NORMSINV(1-0.05/A5)*CG5),0)</f>
        <v>43.35347653215351</v>
      </c>
      <c r="CN5">
        <f>cond!GI5</f>
        <v>4801.34016</v>
      </c>
      <c r="CO5" t="str">
        <f>cond!AA5</f>
        <v>Texas</v>
      </c>
      <c r="CP5" t="str">
        <f>cond!C5</f>
        <v>Oil</v>
      </c>
      <c r="CQ5">
        <f>A5*cond!GL5</f>
        <v>690.0605810428164</v>
      </c>
      <c r="CR5">
        <f>SQRT(A5*cond!GM5^2+A5*(1-A5)*cond!GL5^2)</f>
        <v>359.09220847275174</v>
      </c>
      <c r="CS5">
        <f>cond!GN5</f>
        <v>6.416958812430393</v>
      </c>
      <c r="CT5">
        <f>cond!GO5</f>
        <v>0.4895315718513291</v>
      </c>
      <c r="CU5">
        <f>IF(A5=1,cond!GP5,0)</f>
        <v>0.32146909866666673</v>
      </c>
      <c r="CV5">
        <f>IF(A5&gt;0.95,EXP(CS5+NORMSINV(1-0.95/A5)*CT5),0)</f>
        <v>273.6229410125807</v>
      </c>
      <c r="CW5">
        <f>IF(A5&gt;0.75,EXP(CS5+NORMSINV(1-0.75/A5)*CT5),0)</f>
        <v>440.00002547907553</v>
      </c>
      <c r="CX5">
        <f>IF(A5&gt;0.5,EXP(CS5+NORMSINV(1-0.5/A5)*CT5),0)</f>
        <v>612.1386520136789</v>
      </c>
      <c r="CY5">
        <f>IF(A5&gt;0.25,EXP(CS5+NORMSINV(1-0.25/A5)*CT5),0)</f>
        <v>851.6220627058659</v>
      </c>
      <c r="CZ5">
        <f>IF(A5&gt;0.05,EXP(CS5+NORMSINV(1-0.05/A5)*CT5),0)</f>
        <v>1369.4528971234733</v>
      </c>
      <c r="DA5">
        <f>cond!GV5</f>
        <v>84823.67615999999</v>
      </c>
      <c r="DB5" t="str">
        <f>cond!AA5</f>
        <v>Texas</v>
      </c>
      <c r="DC5" t="str">
        <f>cond!C5</f>
        <v>Oil</v>
      </c>
      <c r="DD5">
        <f>A5*cond!GY5</f>
        <v>0</v>
      </c>
      <c r="DE5">
        <f>SQRT(A5*cond!GZ5^2+A5*(1-A5)*cond!GY5^2)</f>
        <v>0</v>
      </c>
      <c r="DF5" t="e">
        <f>cond!HA5</f>
        <v>#DIV/0!</v>
      </c>
      <c r="DG5" t="e">
        <f>cond!HB5</f>
        <v>#DIV/0!</v>
      </c>
      <c r="DH5">
        <f>IF(A5=1,cond!HC5,0)</f>
        <v>0</v>
      </c>
      <c r="DI5" t="e">
        <f>IF(A5&gt;0.95,EXP(DF5+NORMSINV(1-0.95/A5)*DG5),0)</f>
        <v>#DIV/0!</v>
      </c>
      <c r="DJ5" t="e">
        <f>IF(A5&gt;0.75,EXP(DF5+NORMSINV(1-0.75/A5)*DG5),0)</f>
        <v>#DIV/0!</v>
      </c>
      <c r="DK5" t="e">
        <f>IF(A5&gt;0.5,EXP(DF5+NORMSINV(1-0.5/A5)*DG5),0)</f>
        <v>#DIV/0!</v>
      </c>
      <c r="DL5" t="e">
        <f>IF(A5&gt;0.25,EXP(DF5+NORMSINV(1-0.25/A5)*DG5),0)</f>
        <v>#DIV/0!</v>
      </c>
      <c r="DM5" t="e">
        <f>IF(A5&gt;0.05,EXP(DF5+NORMSINV(1-0.05/A5)*DG5),0)</f>
        <v>#DIV/0!</v>
      </c>
      <c r="DN5">
        <f>cond!HI5</f>
        <v>0</v>
      </c>
      <c r="DO5" t="str">
        <f>cond!AA5</f>
        <v>Texas</v>
      </c>
      <c r="DP5" t="str">
        <f>cond!C5</f>
        <v>Oil</v>
      </c>
      <c r="DQ5">
        <f>A5*cond!HL5</f>
        <v>0</v>
      </c>
      <c r="DR5">
        <f>SQRT(A5*cond!HM5^2+A5*(1-A5)*cond!HL5^2)</f>
        <v>0</v>
      </c>
      <c r="DS5" t="e">
        <f>cond!HN5</f>
        <v>#DIV/0!</v>
      </c>
      <c r="DT5" t="e">
        <f>cond!HO5</f>
        <v>#DIV/0!</v>
      </c>
      <c r="DU5">
        <f>IF(A5=1,cond!HP5,0)</f>
        <v>0</v>
      </c>
      <c r="DV5" t="e">
        <f>IF(A5&gt;0.95,EXP(DS5+NORMSINV(1-0.95/A5)*DT5),0)</f>
        <v>#DIV/0!</v>
      </c>
      <c r="DW5" t="e">
        <f>IF(A5&gt;0.75,EXP(DS5+NORMSINV(1-0.75/A5)*DT5),0)</f>
        <v>#DIV/0!</v>
      </c>
      <c r="DX5" t="e">
        <f>IF(A5&gt;0.5,EXP(DS5+NORMSINV(1-0.5/A5)*DT5),0)</f>
        <v>#DIV/0!</v>
      </c>
      <c r="DY5" t="e">
        <f>IF(A5&gt;0.25,EXP(DS5+NORMSINV(1-0.25/A5)*DT5),0)</f>
        <v>#DIV/0!</v>
      </c>
      <c r="DZ5" t="e">
        <f>IF(A5&gt;0.05,EXP(DS5+NORMSINV(1-0.05/A5)*DT5),0)</f>
        <v>#DIV/0!</v>
      </c>
      <c r="EA5">
        <f>cond!HV5</f>
        <v>0</v>
      </c>
      <c r="EB5" t="str">
        <f>cond!AA5</f>
        <v>Texas</v>
      </c>
      <c r="EC5" t="str">
        <f>cond!C5</f>
        <v>Oil</v>
      </c>
      <c r="ED5">
        <f>A5*cond!HY5</f>
        <v>0</v>
      </c>
      <c r="EE5">
        <f>SQRT(A5*cond!HZ5^2+A5*(1-A5)*cond!HY5^2)</f>
        <v>0</v>
      </c>
      <c r="EF5" t="e">
        <f>cond!IA5</f>
        <v>#DIV/0!</v>
      </c>
      <c r="EG5" t="e">
        <f>cond!IB5</f>
        <v>#DIV/0!</v>
      </c>
      <c r="EH5">
        <f>IF(A5=1,cond!IC5,0)</f>
        <v>0</v>
      </c>
      <c r="EI5" t="e">
        <f>IF(A5&gt;0.95,EXP(EF5+NORMSINV(1-0.95/A5)*EG5),0)</f>
        <v>#DIV/0!</v>
      </c>
      <c r="EJ5" t="e">
        <f>IF(A5&gt;0.75,EXP(EF5+NORMSINV(1-0.75/A5)*EG5),0)</f>
        <v>#DIV/0!</v>
      </c>
      <c r="EK5" t="e">
        <f>IF(A5&gt;0.5,EXP(EF5+NORMSINV(1-0.5/A5)*EG5),0)</f>
        <v>#DIV/0!</v>
      </c>
      <c r="EL5" t="e">
        <f>IF(A5&gt;0.25,EXP(EF5+NORMSINV(1-0.25/A5)*EG5),0)</f>
        <v>#DIV/0!</v>
      </c>
      <c r="EM5" t="e">
        <f>IF(A5&gt;0.05,EXP(EF5+NORMSINV(1-0.05/A5)*EG5),0)</f>
        <v>#DIV/0!</v>
      </c>
      <c r="EN5">
        <f>cond!II5</f>
        <v>0</v>
      </c>
      <c r="EO5" t="str">
        <f>cond!AA5</f>
        <v>Texas</v>
      </c>
      <c r="EP5" t="str">
        <f>cond!C5</f>
        <v>Oil</v>
      </c>
      <c r="EQ5">
        <f>A5*cond!IL5</f>
        <v>0</v>
      </c>
      <c r="ER5">
        <f>SQRT(A5*cond!IM5^2+A5*(1-A5)*cond!IL5^2)</f>
        <v>0</v>
      </c>
      <c r="ES5" t="e">
        <f>cond!IN5</f>
        <v>#DIV/0!</v>
      </c>
      <c r="ET5" t="e">
        <f>cond!IO5</f>
        <v>#DIV/0!</v>
      </c>
      <c r="EU5">
        <f>IF(A5=1,cond!IP5,0)</f>
        <v>0</v>
      </c>
      <c r="EV5" t="e">
        <f>IF(A5&gt;0.95,EXP(ES5+NORMSINV(1-0.95/A5)*ET5),0)</f>
        <v>#DIV/0!</v>
      </c>
      <c r="EW5" t="e">
        <f>IF(A5&gt;0.75,EXP(ES5+NORMSINV(1-0.75/A5)*ET5),0)</f>
        <v>#DIV/0!</v>
      </c>
      <c r="EX5" t="e">
        <f>IF(A5&gt;0.5,EXP(ES5+NORMSINV(1-0.5/A5)*ET5),0)</f>
        <v>#DIV/0!</v>
      </c>
      <c r="EY5" t="e">
        <f>IF(A5&gt;0.25,EXP(ES5+NORMSINV(1-0.25/A5)*ET5),0)</f>
        <v>#DIV/0!</v>
      </c>
      <c r="EZ5" t="e">
        <f>IF(A5&gt;0.05,EXP(ES5+NORMSINV(1-0.05/A5)*ET5),0)</f>
        <v>#DIV/0!</v>
      </c>
      <c r="FA5">
        <f>cond!IV5</f>
        <v>0</v>
      </c>
    </row>
    <row r="6" spans="1:157" ht="12.75">
      <c r="A6">
        <f>cond!G6</f>
        <v>1</v>
      </c>
      <c r="B6">
        <f>cond!B6</f>
        <v>50620261</v>
      </c>
      <c r="C6" t="str">
        <f>cond!C6</f>
        <v>Gas</v>
      </c>
      <c r="D6">
        <f>A6*cond!CY6</f>
        <v>10678.333082382152</v>
      </c>
      <c r="E6">
        <f>SQRT(A6*cond!CZ6^2+A6*(1-A6)*cond!CY6^2)</f>
        <v>3436.6266349766165</v>
      </c>
      <c r="F6">
        <f>cond!DA6</f>
        <v>9.226694260628236</v>
      </c>
      <c r="G6">
        <f>cond!DB6</f>
        <v>0.31393553884773107</v>
      </c>
      <c r="H6">
        <f>IF(A6=1,cond!DC6,0)</f>
        <v>34.800000000000004</v>
      </c>
      <c r="I6">
        <f>IF(A6&gt;0.95,EXP(F6+NORMSINV(1-0.95/A6)*G6),0)</f>
        <v>6065.160297323452</v>
      </c>
      <c r="J6">
        <f>IF(A6&gt;0.75,EXP(F6+NORMSINV(1-0.75/A6)*G6),0)</f>
        <v>8225.118291316709</v>
      </c>
      <c r="K6">
        <f>IF(A6&gt;0.5,EXP(F6+NORMSINV(1-0.5/A6)*G6),0)</f>
        <v>10164.883454529365</v>
      </c>
      <c r="L6">
        <f>IF(A6&gt;0.25,EXP(F6+NORMSINV(1-0.25/A6)*G6),0)</f>
        <v>12562.111812208865</v>
      </c>
      <c r="M6">
        <f>IF(A6&gt;0.05,EXP(F6+NORMSINV(1-0.05/A6)*G6),0)</f>
        <v>17035.799645684874</v>
      </c>
      <c r="N6">
        <f>cond!DI6</f>
        <v>731730</v>
      </c>
      <c r="O6">
        <f>cond!B6</f>
        <v>50620261</v>
      </c>
      <c r="P6" t="str">
        <f>cond!C6</f>
        <v>Gas</v>
      </c>
      <c r="Q6">
        <f>A6*cond!DL6</f>
        <v>142.37777443176205</v>
      </c>
      <c r="R6">
        <f>SQRT(A6*cond!DM6^2+A6*(1-A6)*cond!DL6^2)</f>
        <v>115.26125119454663</v>
      </c>
      <c r="S6">
        <f>cond!DN6</f>
        <v>4.706473593037843</v>
      </c>
      <c r="T6">
        <f>cond!DO6</f>
        <v>0.7099441038981729</v>
      </c>
      <c r="U6">
        <f>IF(A6=1,cond!DP6,0)</f>
        <v>0</v>
      </c>
      <c r="V6">
        <f>IF(A6&gt;0.95,EXP(S6+NORMSINV(1-0.95/A6)*T6),0)</f>
        <v>34.4228111281992</v>
      </c>
      <c r="W6">
        <f>IF(A6&gt;0.75,EXP(S6+NORMSINV(1-0.75/A6)*T6),0)</f>
        <v>68.5541244854191</v>
      </c>
      <c r="X6">
        <f>IF(A6&gt;0.5,EXP(S6+NORMSINV(1-0.5/A6)*T6),0)</f>
        <v>110.66123448202715</v>
      </c>
      <c r="Y6">
        <f>IF(A6&gt;0.25,EXP(S6+NORMSINV(1-0.25/A6)*T6),0)</f>
        <v>178.63124806868186</v>
      </c>
      <c r="Z6">
        <f>IF(A6&gt;0.05,EXP(S6+NORMSINV(1-0.05/A6)*T6),0)</f>
        <v>355.7498186734185</v>
      </c>
      <c r="AA6">
        <f>cond!DV6</f>
        <v>29269.2</v>
      </c>
      <c r="AB6">
        <f>cond!B6</f>
        <v>50620261</v>
      </c>
      <c r="AC6" t="str">
        <f>cond!C6</f>
        <v>Gas</v>
      </c>
      <c r="AD6">
        <f>A6*cond!DY6</f>
        <v>0</v>
      </c>
      <c r="AE6">
        <f>SQRT(A6*cond!DZ6^2+A6*(1-A6)*cond!DY6^2)</f>
        <v>0</v>
      </c>
      <c r="AF6" t="e">
        <f>cond!EA6</f>
        <v>#DIV/0!</v>
      </c>
      <c r="AG6" t="e">
        <f>cond!EB6</f>
        <v>#DIV/0!</v>
      </c>
      <c r="AH6">
        <f>IF(A6=1,cond!EC6,0)</f>
        <v>0</v>
      </c>
      <c r="AI6" t="e">
        <f>IF(A6&gt;0.95,EXP(AF6+NORMSINV(1-0.95/A6)*AG6),0)</f>
        <v>#DIV/0!</v>
      </c>
      <c r="AJ6" t="e">
        <f>IF(A6&gt;0.75,EXP(AF6+NORMSINV(1-0.75/A6)*AG6),0)</f>
        <v>#DIV/0!</v>
      </c>
      <c r="AK6" t="e">
        <f>IF(A6&gt;0.5,EXP(AF6+NORMSINV(1-0.5/A6)*AG6),0)</f>
        <v>#DIV/0!</v>
      </c>
      <c r="AL6" t="e">
        <f>IF(A6&gt;0.25,EXP(AF6+NORMSINV(1-0.25/A6)*AG6),0)</f>
        <v>#DIV/0!</v>
      </c>
      <c r="AM6" t="e">
        <f>IF(A6&gt;0.05,EXP(AF6+NORMSINV(1-0.05/A6)*AG6),0)</f>
        <v>#DIV/0!</v>
      </c>
      <c r="AN6">
        <f>cond!EI6</f>
        <v>0</v>
      </c>
      <c r="AO6">
        <f>cond!B6</f>
        <v>50620261</v>
      </c>
      <c r="AP6" t="str">
        <f>cond!C6</f>
        <v>Gas</v>
      </c>
      <c r="AQ6">
        <f>A6*cond!EL6</f>
        <v>1922.0999548287875</v>
      </c>
      <c r="AR6">
        <f>SQRT(A6*cond!EM6^2+A6*(1-A6)*cond!EL6^2)</f>
        <v>627.5687803322433</v>
      </c>
      <c r="AS6">
        <f>cond!EN6</f>
        <v>7.510525968665748</v>
      </c>
      <c r="AT6">
        <f>cond!EO6</f>
        <v>0.31826914756654573</v>
      </c>
      <c r="AU6">
        <f>IF(A6=1,cond!EP6,0)</f>
        <v>5.800000000000001</v>
      </c>
      <c r="AV6">
        <f>IF(A6&gt;0.95,EXP(AS6+NORMSINV(1-0.95/A6)*AT6),0)</f>
        <v>1082.4906332411126</v>
      </c>
      <c r="AW6">
        <f>IF(A6&gt;0.75,EXP(AS6+NORMSINV(1-0.75/A6)*AT6),0)</f>
        <v>1474.1792759500988</v>
      </c>
      <c r="AX6">
        <f>IF(A6&gt;0.5,EXP(AS6+NORMSINV(1-0.5/A6)*AT6),0)</f>
        <v>1827.1743265660193</v>
      </c>
      <c r="AY6">
        <f>IF(A6&gt;0.25,EXP(AS6+NORMSINV(1-0.25/A6)*AT6),0)</f>
        <v>2264.694718022204</v>
      </c>
      <c r="AZ6">
        <f>IF(A6&gt;0.05,EXP(AS6+NORMSINV(1-0.05/A6)*AT6),0)</f>
        <v>3084.1523401139316</v>
      </c>
      <c r="BA6">
        <f>cond!EV6</f>
        <v>151224.2</v>
      </c>
      <c r="BB6" t="str">
        <f>cond!AA6</f>
        <v>Oklahoma</v>
      </c>
      <c r="BC6" t="str">
        <f>cond!C6</f>
        <v>Gas</v>
      </c>
      <c r="BD6">
        <f>A6*cond!EY6</f>
        <v>9076.583120024829</v>
      </c>
      <c r="BE6">
        <f>SQRT(A6*cond!EZ6^2+A6*(1-A6)*cond!EY6^2)</f>
        <v>2921.132639730124</v>
      </c>
      <c r="BF6">
        <f>cond!FA6</f>
        <v>9.06417533113046</v>
      </c>
      <c r="BG6">
        <f>cond!FB6</f>
        <v>0.31393553884773107</v>
      </c>
      <c r="BH6">
        <f>IF(A6=1,cond!FC6,0)</f>
        <v>29.580000000000005</v>
      </c>
      <c r="BI6">
        <f>IF(A6&gt;0.95,EXP(BF6+NORMSINV(1-0.95/A6)*BG6),0)</f>
        <v>5155.386252724933</v>
      </c>
      <c r="BJ6">
        <f>IF(A6&gt;0.75,EXP(BF6+NORMSINV(1-0.75/A6)*BG6),0)</f>
        <v>6991.350547619201</v>
      </c>
      <c r="BK6">
        <f>IF(A6&gt;0.5,EXP(BF6+NORMSINV(1-0.5/A6)*BG6),0)</f>
        <v>8640.150936349957</v>
      </c>
      <c r="BL6">
        <f>IF(A6&gt;0.25,EXP(BF6+NORMSINV(1-0.25/A6)*BG6),0)</f>
        <v>10677.795040377534</v>
      </c>
      <c r="BM6">
        <f>IF(A6&gt;0.05,EXP(BF6+NORMSINV(1-0.05/A6)*BG6),0)</f>
        <v>14480.42969883214</v>
      </c>
      <c r="BN6">
        <f>cond!FI6</f>
        <v>621970.5</v>
      </c>
      <c r="BO6" t="str">
        <f>cond!AA6</f>
        <v>Oklahoma</v>
      </c>
      <c r="BP6" t="str">
        <f>cond!C6</f>
        <v>Gas</v>
      </c>
      <c r="BQ6">
        <f>A6*cond!FL6</f>
        <v>121.02110826699774</v>
      </c>
      <c r="BR6">
        <f>SQRT(A6*cond!FM6^2+A6*(1-A6)*cond!FL6^2)</f>
        <v>97.97206351536462</v>
      </c>
      <c r="BS6">
        <f>cond!FN6</f>
        <v>4.5439546635400685</v>
      </c>
      <c r="BT6">
        <f>cond!FO6</f>
        <v>0.7099441038981729</v>
      </c>
      <c r="BU6">
        <f>IF(A6=1,cond!FP6,0)</f>
        <v>0</v>
      </c>
      <c r="BV6">
        <f>IF(A6&gt;0.95,EXP(BS6+NORMSINV(1-0.95/A6)*BT6),0)</f>
        <v>29.259389458969338</v>
      </c>
      <c r="BW6">
        <f>IF(A6&gt;0.75,EXP(BS6+NORMSINV(1-0.75/A6)*BT6),0)</f>
        <v>58.271005812606276</v>
      </c>
      <c r="BX6">
        <f>IF(A6&gt;0.5,EXP(BS6+NORMSINV(1-0.5/A6)*BT6),0)</f>
        <v>94.06204930972315</v>
      </c>
      <c r="BY6">
        <f>IF(A6&gt;0.25,EXP(BS6+NORMSINV(1-0.25/A6)*BT6),0)</f>
        <v>151.83656085837967</v>
      </c>
      <c r="BZ6">
        <f>IF(A6&gt;0.05,EXP(BS6+NORMSINV(1-0.05/A6)*BT6),0)</f>
        <v>302.3873458724059</v>
      </c>
      <c r="CA6">
        <f>cond!FV6</f>
        <v>24878.82</v>
      </c>
      <c r="CB6" t="str">
        <f>cond!AA6</f>
        <v>Oklahoma</v>
      </c>
      <c r="CC6" t="str">
        <f>cond!C6</f>
        <v>Gas</v>
      </c>
      <c r="CD6">
        <f>A6*cond!FY6</f>
        <v>0</v>
      </c>
      <c r="CE6">
        <f>SQRT(A6*cond!FZ6^2+A6*(1-A6)*cond!FY6^2)</f>
        <v>0</v>
      </c>
      <c r="CF6" t="e">
        <f>cond!GA6</f>
        <v>#DIV/0!</v>
      </c>
      <c r="CG6" t="e">
        <f>cond!GB6</f>
        <v>#DIV/0!</v>
      </c>
      <c r="CH6">
        <f>IF(A6=1,cond!GC6,0)</f>
        <v>0</v>
      </c>
      <c r="CI6" t="e">
        <f>IF(A6&gt;0.95,EXP(CF6+NORMSINV(1-0.95/A6)*CG6),0)</f>
        <v>#DIV/0!</v>
      </c>
      <c r="CJ6" t="e">
        <f>IF(A6&gt;0.75,EXP(CF6+NORMSINV(1-0.75/A6)*CG6),0)</f>
        <v>#DIV/0!</v>
      </c>
      <c r="CK6" t="e">
        <f>IF(A6&gt;0.5,EXP(CF6+NORMSINV(1-0.5/A6)*CG6),0)</f>
        <v>#DIV/0!</v>
      </c>
      <c r="CL6" t="e">
        <f>IF(A6&gt;0.25,EXP(CF6+NORMSINV(1-0.25/A6)*CG6),0)</f>
        <v>#DIV/0!</v>
      </c>
      <c r="CM6" t="e">
        <f>IF(A6&gt;0.05,EXP(CF6+NORMSINV(1-0.05/A6)*CG6),0)</f>
        <v>#DIV/0!</v>
      </c>
      <c r="CN6">
        <f>cond!GI6</f>
        <v>0</v>
      </c>
      <c r="CO6" t="str">
        <f>cond!AA6</f>
        <v>Oklahoma</v>
      </c>
      <c r="CP6" t="str">
        <f>cond!C6</f>
        <v>Gas</v>
      </c>
      <c r="CQ6">
        <f>A6*cond!GL6</f>
        <v>1633.7849616044693</v>
      </c>
      <c r="CR6">
        <f>SQRT(A6*cond!GM6^2+A6*(1-A6)*cond!GL6^2)</f>
        <v>533.4334632824067</v>
      </c>
      <c r="CS6">
        <f>cond!GN6</f>
        <v>7.348007039167974</v>
      </c>
      <c r="CT6">
        <f>cond!GO6</f>
        <v>0.31826914756654573</v>
      </c>
      <c r="CU6">
        <f>IF(A6=1,cond!GP6,0)</f>
        <v>4.930000000000001</v>
      </c>
      <c r="CV6">
        <f>IF(A6&gt;0.95,EXP(CS6+NORMSINV(1-0.95/A6)*CT6),0)</f>
        <v>920.1170382549462</v>
      </c>
      <c r="CW6">
        <f>IF(A6&gt;0.75,EXP(CS6+NORMSINV(1-0.75/A6)*CT6),0)</f>
        <v>1253.052384557585</v>
      </c>
      <c r="CX6">
        <f>IF(A6&gt;0.5,EXP(CS6+NORMSINV(1-0.5/A6)*CT6),0)</f>
        <v>1553.0981775811174</v>
      </c>
      <c r="CY6">
        <f>IF(A6&gt;0.25,EXP(CS6+NORMSINV(1-0.25/A6)*CT6),0)</f>
        <v>1924.9905103188746</v>
      </c>
      <c r="CZ6">
        <f>IF(A6&gt;0.05,EXP(CS6+NORMSINV(1-0.05/A6)*CT6),0)</f>
        <v>2621.529489096841</v>
      </c>
      <c r="DA6">
        <f>cond!GV6</f>
        <v>128540.57000000002</v>
      </c>
      <c r="DB6" t="str">
        <f>cond!AA6</f>
        <v>Oklahoma</v>
      </c>
      <c r="DC6" t="str">
        <f>cond!C6</f>
        <v>Gas</v>
      </c>
      <c r="DD6">
        <f>A6*cond!GY6</f>
        <v>0</v>
      </c>
      <c r="DE6">
        <f>SQRT(A6*cond!GZ6^2+A6*(1-A6)*cond!GY6^2)</f>
        <v>0</v>
      </c>
      <c r="DF6" t="e">
        <f>cond!HA6</f>
        <v>#DIV/0!</v>
      </c>
      <c r="DG6" t="e">
        <f>cond!HB6</f>
        <v>#DIV/0!</v>
      </c>
      <c r="DH6">
        <f>IF(A6=1,cond!HC6,0)</f>
        <v>0</v>
      </c>
      <c r="DI6" t="e">
        <f>IF(A6&gt;0.95,EXP(DF6+NORMSINV(1-0.95/A6)*DG6),0)</f>
        <v>#DIV/0!</v>
      </c>
      <c r="DJ6" t="e">
        <f>IF(A6&gt;0.75,EXP(DF6+NORMSINV(1-0.75/A6)*DG6),0)</f>
        <v>#DIV/0!</v>
      </c>
      <c r="DK6" t="e">
        <f>IF(A6&gt;0.5,EXP(DF6+NORMSINV(1-0.5/A6)*DG6),0)</f>
        <v>#DIV/0!</v>
      </c>
      <c r="DL6" t="e">
        <f>IF(A6&gt;0.25,EXP(DF6+NORMSINV(1-0.25/A6)*DG6),0)</f>
        <v>#DIV/0!</v>
      </c>
      <c r="DM6" t="e">
        <f>IF(A6&gt;0.05,EXP(DF6+NORMSINV(1-0.05/A6)*DG6),0)</f>
        <v>#DIV/0!</v>
      </c>
      <c r="DN6">
        <f>cond!HI6</f>
        <v>0</v>
      </c>
      <c r="DO6" t="str">
        <f>cond!AA6</f>
        <v>Oklahoma</v>
      </c>
      <c r="DP6" t="str">
        <f>cond!C6</f>
        <v>Gas</v>
      </c>
      <c r="DQ6">
        <f>A6*cond!HL6</f>
        <v>0</v>
      </c>
      <c r="DR6">
        <f>SQRT(A6*cond!HM6^2+A6*(1-A6)*cond!HL6^2)</f>
        <v>0</v>
      </c>
      <c r="DS6" t="e">
        <f>cond!HN6</f>
        <v>#DIV/0!</v>
      </c>
      <c r="DT6" t="e">
        <f>cond!HO6</f>
        <v>#DIV/0!</v>
      </c>
      <c r="DU6">
        <f>IF(A6=1,cond!HP6,0)</f>
        <v>0</v>
      </c>
      <c r="DV6" t="e">
        <f>IF(A6&gt;0.95,EXP(DS6+NORMSINV(1-0.95/A6)*DT6),0)</f>
        <v>#DIV/0!</v>
      </c>
      <c r="DW6" t="e">
        <f>IF(A6&gt;0.75,EXP(DS6+NORMSINV(1-0.75/A6)*DT6),0)</f>
        <v>#DIV/0!</v>
      </c>
      <c r="DX6" t="e">
        <f>IF(A6&gt;0.5,EXP(DS6+NORMSINV(1-0.5/A6)*DT6),0)</f>
        <v>#DIV/0!</v>
      </c>
      <c r="DY6" t="e">
        <f>IF(A6&gt;0.25,EXP(DS6+NORMSINV(1-0.25/A6)*DT6),0)</f>
        <v>#DIV/0!</v>
      </c>
      <c r="DZ6" t="e">
        <f>IF(A6&gt;0.05,EXP(DS6+NORMSINV(1-0.05/A6)*DT6),0)</f>
        <v>#DIV/0!</v>
      </c>
      <c r="EA6">
        <f>cond!HV6</f>
        <v>0</v>
      </c>
      <c r="EB6" t="str">
        <f>cond!AA6</f>
        <v>Oklahoma</v>
      </c>
      <c r="EC6" t="str">
        <f>cond!C6</f>
        <v>Gas</v>
      </c>
      <c r="ED6">
        <f>A6*cond!HY6</f>
        <v>0</v>
      </c>
      <c r="EE6">
        <f>SQRT(A6*cond!HZ6^2+A6*(1-A6)*cond!HY6^2)</f>
        <v>0</v>
      </c>
      <c r="EF6" t="e">
        <f>cond!IA6</f>
        <v>#DIV/0!</v>
      </c>
      <c r="EG6" t="e">
        <f>cond!IB6</f>
        <v>#DIV/0!</v>
      </c>
      <c r="EH6">
        <f>IF(A6=1,cond!IC6,0)</f>
        <v>0</v>
      </c>
      <c r="EI6" t="e">
        <f>IF(A6&gt;0.95,EXP(EF6+NORMSINV(1-0.95/A6)*EG6),0)</f>
        <v>#DIV/0!</v>
      </c>
      <c r="EJ6" t="e">
        <f>IF(A6&gt;0.75,EXP(EF6+NORMSINV(1-0.75/A6)*EG6),0)</f>
        <v>#DIV/0!</v>
      </c>
      <c r="EK6" t="e">
        <f>IF(A6&gt;0.5,EXP(EF6+NORMSINV(1-0.5/A6)*EG6),0)</f>
        <v>#DIV/0!</v>
      </c>
      <c r="EL6" t="e">
        <f>IF(A6&gt;0.25,EXP(EF6+NORMSINV(1-0.25/A6)*EG6),0)</f>
        <v>#DIV/0!</v>
      </c>
      <c r="EM6" t="e">
        <f>IF(A6&gt;0.05,EXP(EF6+NORMSINV(1-0.05/A6)*EG6),0)</f>
        <v>#DIV/0!</v>
      </c>
      <c r="EN6">
        <f>cond!II6</f>
        <v>0</v>
      </c>
      <c r="EO6" t="str">
        <f>cond!AA6</f>
        <v>Oklahoma</v>
      </c>
      <c r="EP6" t="str">
        <f>cond!C6</f>
        <v>Gas</v>
      </c>
      <c r="EQ6">
        <f>A6*cond!IL6</f>
        <v>0</v>
      </c>
      <c r="ER6">
        <f>SQRT(A6*cond!IM6^2+A6*(1-A6)*cond!IL6^2)</f>
        <v>0</v>
      </c>
      <c r="ES6" t="e">
        <f>cond!IN6</f>
        <v>#DIV/0!</v>
      </c>
      <c r="ET6" t="e">
        <f>cond!IO6</f>
        <v>#DIV/0!</v>
      </c>
      <c r="EU6">
        <f>IF(A6=1,cond!IP6,0)</f>
        <v>0</v>
      </c>
      <c r="EV6" t="e">
        <f>IF(A6&gt;0.95,EXP(ES6+NORMSINV(1-0.95/A6)*ET6),0)</f>
        <v>#DIV/0!</v>
      </c>
      <c r="EW6" t="e">
        <f>IF(A6&gt;0.75,EXP(ES6+NORMSINV(1-0.75/A6)*ET6),0)</f>
        <v>#DIV/0!</v>
      </c>
      <c r="EX6" t="e">
        <f>IF(A6&gt;0.5,EXP(ES6+NORMSINV(1-0.5/A6)*ET6),0)</f>
        <v>#DIV/0!</v>
      </c>
      <c r="EY6" t="e">
        <f>IF(A6&gt;0.25,EXP(ES6+NORMSINV(1-0.25/A6)*ET6),0)</f>
        <v>#DIV/0!</v>
      </c>
      <c r="EZ6" t="e">
        <f>IF(A6&gt;0.05,EXP(ES6+NORMSINV(1-0.05/A6)*ET6),0)</f>
        <v>#DIV/0!</v>
      </c>
      <c r="FA6">
        <f>cond!IV6</f>
        <v>0</v>
      </c>
    </row>
  </sheetData>
  <sheetProtection/>
  <printOptions gridLines="1" horizontalCentered="1"/>
  <pageMargins left="0.75" right="0.75" top="1" bottom="1" header="0.5" footer="0.5"/>
  <pageSetup horizontalDpi="600" verticalDpi="600" orientation="portrait" scale="90" r:id="rId1"/>
  <headerFooter alignWithMargins="0">
    <oddHeader>&amp;CACCESS</oddHeader>
  </headerFooter>
  <colBreaks count="11" manualBreakCount="11">
    <brk id="14" max="65535" man="1"/>
    <brk id="27" max="65535" man="1"/>
    <brk id="40" max="65535" man="1"/>
    <brk id="53" max="65535" man="1"/>
    <brk id="66" max="65535" man="1"/>
    <brk id="79" max="65535" man="1"/>
    <brk id="92" max="65535" man="1"/>
    <brk id="105" max="65535" man="1"/>
    <brk id="118" max="65535" man="1"/>
    <brk id="131" max="65535" man="1"/>
    <brk id="14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9.00390625" style="0" customWidth="1"/>
    <col min="3" max="3" width="4.00390625" style="0" customWidth="1"/>
    <col min="6" max="7" width="0" style="0" hidden="1" customWidth="1"/>
    <col min="8" max="8" width="8.140625" style="0" customWidth="1"/>
    <col min="11" max="11" width="8.00390625" style="0" customWidth="1"/>
    <col min="14" max="14" width="7.8515625" style="0" customWidth="1"/>
    <col min="15" max="15" width="9.421875" style="0" customWidth="1"/>
    <col min="16" max="16" width="3.8515625" style="0" customWidth="1"/>
    <col min="19" max="20" width="0" style="0" hidden="1" customWidth="1"/>
    <col min="21" max="21" width="8.421875" style="0" customWidth="1"/>
    <col min="24" max="24" width="8.00390625" style="0" customWidth="1"/>
    <col min="27" max="27" width="7.421875" style="0" customWidth="1"/>
    <col min="28" max="28" width="9.421875" style="0" customWidth="1"/>
    <col min="29" max="29" width="4.140625" style="0" customWidth="1"/>
    <col min="32" max="33" width="0" style="0" hidden="1" customWidth="1"/>
    <col min="34" max="34" width="8.421875" style="0" customWidth="1"/>
    <col min="35" max="35" width="9.8515625" style="0" customWidth="1"/>
    <col min="37" max="37" width="8.28125" style="0" customWidth="1"/>
    <col min="40" max="40" width="7.28125" style="0" customWidth="1"/>
    <col min="41" max="41" width="9.421875" style="0" customWidth="1"/>
    <col min="42" max="42" width="4.140625" style="0" customWidth="1"/>
    <col min="45" max="46" width="0" style="0" hidden="1" customWidth="1"/>
    <col min="47" max="47" width="8.28125" style="0" customWidth="1"/>
    <col min="53" max="53" width="7.140625" style="0" customWidth="1"/>
    <col min="54" max="54" width="5.8515625" style="0" customWidth="1"/>
    <col min="55" max="55" width="4.00390625" style="0" customWidth="1"/>
    <col min="58" max="59" width="0" style="0" hidden="1" customWidth="1"/>
    <col min="66" max="66" width="7.8515625" style="0" customWidth="1"/>
    <col min="67" max="67" width="5.8515625" style="0" customWidth="1"/>
    <col min="68" max="68" width="4.00390625" style="0" customWidth="1"/>
    <col min="71" max="72" width="0" style="0" hidden="1" customWidth="1"/>
    <col min="73" max="73" width="9.7109375" style="0" customWidth="1"/>
    <col min="74" max="74" width="9.57421875" style="0" customWidth="1"/>
    <col min="75" max="76" width="8.28125" style="0" customWidth="1"/>
    <col min="77" max="77" width="8.57421875" style="0" customWidth="1"/>
    <col min="78" max="78" width="8.140625" style="0" customWidth="1"/>
    <col min="79" max="79" width="7.57421875" style="0" customWidth="1"/>
    <col min="80" max="80" width="5.8515625" style="0" customWidth="1"/>
    <col min="81" max="81" width="3.8515625" style="0" customWidth="1"/>
    <col min="82" max="82" width="9.421875" style="0" customWidth="1"/>
    <col min="83" max="83" width="9.57421875" style="0" customWidth="1"/>
    <col min="84" max="85" width="0" style="0" hidden="1" customWidth="1"/>
    <col min="87" max="87" width="10.28125" style="0" customWidth="1"/>
    <col min="88" max="88" width="9.8515625" style="0" customWidth="1"/>
    <col min="89" max="90" width="9.28125" style="0" customWidth="1"/>
    <col min="91" max="91" width="9.7109375" style="0" customWidth="1"/>
    <col min="92" max="92" width="8.28125" style="0" customWidth="1"/>
    <col min="93" max="93" width="6.00390625" style="0" customWidth="1"/>
    <col min="94" max="94" width="3.8515625" style="0" customWidth="1"/>
    <col min="97" max="98" width="0" style="0" hidden="1" customWidth="1"/>
    <col min="105" max="105" width="7.7109375" style="0" customWidth="1"/>
    <col min="106" max="106" width="5.8515625" style="0" customWidth="1"/>
    <col min="107" max="107" width="4.00390625" style="0" customWidth="1"/>
    <col min="108" max="108" width="8.140625" style="0" customWidth="1"/>
    <col min="109" max="109" width="8.421875" style="0" customWidth="1"/>
    <col min="110" max="111" width="0" style="0" hidden="1" customWidth="1"/>
    <col min="112" max="112" width="8.28125" style="0" customWidth="1"/>
    <col min="118" max="118" width="7.8515625" style="0" customWidth="1"/>
    <col min="119" max="119" width="6.00390625" style="0" customWidth="1"/>
    <col min="120" max="120" width="3.8515625" style="0" customWidth="1"/>
    <col min="121" max="121" width="9.28125" style="0" customWidth="1"/>
    <col min="122" max="122" width="9.7109375" style="0" customWidth="1"/>
    <col min="123" max="124" width="0" style="0" hidden="1" customWidth="1"/>
    <col min="125" max="125" width="9.00390625" style="0" customWidth="1"/>
    <col min="126" max="126" width="10.28125" style="0" customWidth="1"/>
    <col min="127" max="127" width="10.140625" style="0" customWidth="1"/>
    <col min="128" max="128" width="10.8515625" style="0" customWidth="1"/>
    <col min="129" max="129" width="10.140625" style="0" customWidth="1"/>
    <col min="130" max="130" width="9.28125" style="0" customWidth="1"/>
    <col min="131" max="131" width="8.28125" style="0" customWidth="1"/>
    <col min="132" max="132" width="5.8515625" style="0" customWidth="1"/>
    <col min="133" max="133" width="4.00390625" style="0" customWidth="1"/>
    <col min="134" max="134" width="9.57421875" style="0" customWidth="1"/>
    <col min="135" max="135" width="9.8515625" style="0" customWidth="1"/>
    <col min="136" max="137" width="0" style="0" hidden="1" customWidth="1"/>
    <col min="138" max="138" width="9.421875" style="0" customWidth="1"/>
    <col min="139" max="139" width="10.00390625" style="0" customWidth="1"/>
    <col min="140" max="140" width="9.7109375" style="0" customWidth="1"/>
    <col min="141" max="141" width="9.421875" style="0" customWidth="1"/>
    <col min="142" max="142" width="9.7109375" style="0" customWidth="1"/>
    <col min="143" max="143" width="8.7109375" style="0" customWidth="1"/>
    <col min="144" max="144" width="7.421875" style="0" customWidth="1"/>
    <col min="145" max="145" width="5.8515625" style="0" customWidth="1"/>
    <col min="146" max="146" width="3.8515625" style="0" customWidth="1"/>
    <col min="149" max="150" width="0" style="0" hidden="1" customWidth="1"/>
    <col min="154" max="154" width="8.421875" style="0" customWidth="1"/>
    <col min="157" max="157" width="7.7109375" style="0" customWidth="1"/>
  </cols>
  <sheetData>
    <row r="1" spans="2:157" ht="12.75">
      <c r="B1" s="1" t="s">
        <v>115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74</v>
      </c>
      <c r="O1" s="1" t="s">
        <v>115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 t="s">
        <v>75</v>
      </c>
      <c r="AB1" s="1" t="s">
        <v>115</v>
      </c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 t="s">
        <v>76</v>
      </c>
      <c r="AO1" s="1" t="s">
        <v>115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 t="s">
        <v>77</v>
      </c>
      <c r="BB1" s="1" t="s">
        <v>116</v>
      </c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2" t="s">
        <v>78</v>
      </c>
      <c r="BO1" s="1" t="s">
        <v>116</v>
      </c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2" t="s">
        <v>79</v>
      </c>
      <c r="CB1" s="1" t="s">
        <v>116</v>
      </c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2" t="s">
        <v>80</v>
      </c>
      <c r="CO1" s="1" t="s">
        <v>116</v>
      </c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2" t="s">
        <v>81</v>
      </c>
      <c r="DB1" s="1" t="s">
        <v>117</v>
      </c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2" t="s">
        <v>82</v>
      </c>
      <c r="DO1" s="1" t="s">
        <v>117</v>
      </c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2" t="s">
        <v>83</v>
      </c>
      <c r="EB1" s="1" t="s">
        <v>117</v>
      </c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2" t="s">
        <v>84</v>
      </c>
      <c r="EO1" s="1" t="s">
        <v>117</v>
      </c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2" t="s">
        <v>85</v>
      </c>
    </row>
    <row r="2" spans="4:157" ht="12.75">
      <c r="D2" s="1" t="s">
        <v>24</v>
      </c>
      <c r="E2" s="1"/>
      <c r="F2" s="1"/>
      <c r="G2" s="1"/>
      <c r="H2" s="1"/>
      <c r="I2" s="1"/>
      <c r="J2" s="1"/>
      <c r="K2" s="1"/>
      <c r="L2" s="1"/>
      <c r="M2" s="1"/>
      <c r="N2" s="1"/>
      <c r="Q2" s="1" t="s">
        <v>87</v>
      </c>
      <c r="R2" s="1"/>
      <c r="S2" s="1"/>
      <c r="T2" s="1"/>
      <c r="U2" s="1"/>
      <c r="V2" s="1"/>
      <c r="W2" s="1"/>
      <c r="X2" s="1"/>
      <c r="Y2" s="1"/>
      <c r="Z2" s="1"/>
      <c r="AA2" s="1"/>
      <c r="AD2" s="1" t="s">
        <v>25</v>
      </c>
      <c r="AE2" s="1"/>
      <c r="AF2" s="1"/>
      <c r="AG2" s="1"/>
      <c r="AH2" s="1"/>
      <c r="AI2" s="1"/>
      <c r="AJ2" s="1"/>
      <c r="AK2" s="1"/>
      <c r="AL2" s="1"/>
      <c r="AM2" s="1"/>
      <c r="AN2" s="1"/>
      <c r="AQ2" s="1" t="s">
        <v>26</v>
      </c>
      <c r="AR2" s="1"/>
      <c r="AS2" s="1"/>
      <c r="AT2" s="1"/>
      <c r="AU2" s="1"/>
      <c r="AV2" s="1"/>
      <c r="AW2" s="1"/>
      <c r="AX2" s="1"/>
      <c r="AY2" s="1"/>
      <c r="AZ2" s="1"/>
      <c r="BA2" s="1"/>
      <c r="BD2" s="1" t="s">
        <v>24</v>
      </c>
      <c r="BE2" s="1"/>
      <c r="BF2" s="1"/>
      <c r="BG2" s="1"/>
      <c r="BH2" s="1"/>
      <c r="BI2" s="1"/>
      <c r="BJ2" s="1"/>
      <c r="BK2" s="1"/>
      <c r="BL2" s="1"/>
      <c r="BM2" s="1"/>
      <c r="BN2" s="1"/>
      <c r="BQ2" s="1" t="s">
        <v>87</v>
      </c>
      <c r="BR2" s="1"/>
      <c r="BS2" s="1"/>
      <c r="BT2" s="1"/>
      <c r="BU2" s="1"/>
      <c r="BV2" s="1"/>
      <c r="BW2" s="1"/>
      <c r="BX2" s="1"/>
      <c r="BY2" s="1"/>
      <c r="BZ2" s="1"/>
      <c r="CA2" s="1"/>
      <c r="CD2" s="1" t="s">
        <v>25</v>
      </c>
      <c r="CE2" s="1"/>
      <c r="CF2" s="1"/>
      <c r="CG2" s="1"/>
      <c r="CH2" s="1"/>
      <c r="CI2" s="1"/>
      <c r="CJ2" s="1"/>
      <c r="CK2" s="1"/>
      <c r="CL2" s="1"/>
      <c r="CM2" s="1"/>
      <c r="CN2" s="1"/>
      <c r="CQ2" s="1" t="s">
        <v>26</v>
      </c>
      <c r="CR2" s="1"/>
      <c r="CS2" s="1"/>
      <c r="CT2" s="1"/>
      <c r="CU2" s="1"/>
      <c r="CV2" s="1"/>
      <c r="CW2" s="1"/>
      <c r="CX2" s="1"/>
      <c r="CY2" s="1"/>
      <c r="CZ2" s="1"/>
      <c r="DA2" s="1"/>
      <c r="DD2" s="1" t="s">
        <v>24</v>
      </c>
      <c r="DE2" s="1"/>
      <c r="DF2" s="1"/>
      <c r="DG2" s="1"/>
      <c r="DH2" s="1"/>
      <c r="DI2" s="1"/>
      <c r="DJ2" s="1"/>
      <c r="DK2" s="1"/>
      <c r="DL2" s="1"/>
      <c r="DM2" s="1"/>
      <c r="DN2" s="1"/>
      <c r="DQ2" s="1" t="s">
        <v>87</v>
      </c>
      <c r="DR2" s="1"/>
      <c r="DS2" s="1"/>
      <c r="DT2" s="1"/>
      <c r="DU2" s="1"/>
      <c r="DV2" s="1"/>
      <c r="DW2" s="1"/>
      <c r="DX2" s="1"/>
      <c r="DY2" s="1"/>
      <c r="DZ2" s="1"/>
      <c r="EA2" s="1"/>
      <c r="ED2" s="1" t="s">
        <v>25</v>
      </c>
      <c r="EE2" s="1"/>
      <c r="EF2" s="1"/>
      <c r="EG2" s="1"/>
      <c r="EH2" s="1"/>
      <c r="EI2" s="1"/>
      <c r="EJ2" s="1"/>
      <c r="EK2" s="1"/>
      <c r="EL2" s="1"/>
      <c r="EM2" s="1"/>
      <c r="EN2" s="1"/>
      <c r="EQ2" s="1" t="s">
        <v>26</v>
      </c>
      <c r="ER2" s="1"/>
      <c r="ES2" s="1"/>
      <c r="ET2" s="1"/>
      <c r="EU2" s="1"/>
      <c r="EV2" s="1"/>
      <c r="EW2" s="1"/>
      <c r="EX2" s="1"/>
      <c r="EY2" s="1"/>
      <c r="EZ2" s="1"/>
      <c r="FA2" s="1"/>
    </row>
    <row r="3" spans="1:157" ht="12.75">
      <c r="A3" s="5" t="s">
        <v>90</v>
      </c>
      <c r="D3" s="1" t="s">
        <v>86</v>
      </c>
      <c r="E3" s="1"/>
      <c r="F3" s="1"/>
      <c r="G3" s="1"/>
      <c r="H3" s="1"/>
      <c r="I3" s="1"/>
      <c r="J3" s="1"/>
      <c r="K3" s="1"/>
      <c r="L3" s="1"/>
      <c r="M3" s="1"/>
      <c r="N3" s="1"/>
      <c r="Q3" s="1" t="s">
        <v>28</v>
      </c>
      <c r="R3" s="1"/>
      <c r="S3" s="1"/>
      <c r="T3" s="1"/>
      <c r="U3" s="1"/>
      <c r="V3" s="1"/>
      <c r="W3" s="1"/>
      <c r="X3" s="1"/>
      <c r="Y3" s="1"/>
      <c r="Z3" s="1"/>
      <c r="AA3" s="1"/>
      <c r="AD3" s="1" t="s">
        <v>29</v>
      </c>
      <c r="AE3" s="1"/>
      <c r="AF3" s="1"/>
      <c r="AG3" s="1"/>
      <c r="AH3" s="1"/>
      <c r="AI3" s="1"/>
      <c r="AJ3" s="1"/>
      <c r="AK3" s="1"/>
      <c r="AL3" s="1"/>
      <c r="AM3" s="1"/>
      <c r="AN3" s="1"/>
      <c r="AQ3" s="1" t="s">
        <v>30</v>
      </c>
      <c r="AR3" s="1"/>
      <c r="AS3" s="1"/>
      <c r="AT3" s="1"/>
      <c r="AU3" s="1"/>
      <c r="AV3" s="1"/>
      <c r="AW3" s="1"/>
      <c r="AX3" s="1"/>
      <c r="AY3" s="1"/>
      <c r="AZ3" s="1"/>
      <c r="BA3" s="1"/>
      <c r="BD3" s="1" t="s">
        <v>86</v>
      </c>
      <c r="BE3" s="1"/>
      <c r="BF3" s="1"/>
      <c r="BG3" s="1"/>
      <c r="BH3" s="1"/>
      <c r="BI3" s="1"/>
      <c r="BJ3" s="1"/>
      <c r="BK3" s="1"/>
      <c r="BL3" s="1"/>
      <c r="BM3" s="1"/>
      <c r="BN3" s="1"/>
      <c r="BQ3" s="1" t="s">
        <v>28</v>
      </c>
      <c r="BR3" s="1"/>
      <c r="BS3" s="1"/>
      <c r="BT3" s="1"/>
      <c r="BU3" s="1"/>
      <c r="BV3" s="1"/>
      <c r="BW3" s="1"/>
      <c r="BX3" s="1"/>
      <c r="BY3" s="1"/>
      <c r="BZ3" s="1"/>
      <c r="CA3" s="1"/>
      <c r="CD3" s="1" t="s">
        <v>29</v>
      </c>
      <c r="CE3" s="1"/>
      <c r="CF3" s="1"/>
      <c r="CG3" s="1"/>
      <c r="CH3" s="1"/>
      <c r="CI3" s="1"/>
      <c r="CJ3" s="1"/>
      <c r="CK3" s="1"/>
      <c r="CL3" s="1"/>
      <c r="CM3" s="1"/>
      <c r="CN3" s="1"/>
      <c r="CQ3" s="1" t="s">
        <v>30</v>
      </c>
      <c r="CR3" s="1"/>
      <c r="CS3" s="1"/>
      <c r="CT3" s="1"/>
      <c r="CU3" s="1"/>
      <c r="CV3" s="1"/>
      <c r="CW3" s="1"/>
      <c r="CX3" s="1"/>
      <c r="CY3" s="1"/>
      <c r="CZ3" s="1"/>
      <c r="DA3" s="1"/>
      <c r="DD3" s="1" t="s">
        <v>86</v>
      </c>
      <c r="DE3" s="1"/>
      <c r="DF3" s="1"/>
      <c r="DG3" s="1"/>
      <c r="DH3" s="1"/>
      <c r="DI3" s="1"/>
      <c r="DJ3" s="1"/>
      <c r="DK3" s="1"/>
      <c r="DL3" s="1"/>
      <c r="DM3" s="1"/>
      <c r="DN3" s="1"/>
      <c r="DQ3" s="1" t="s">
        <v>28</v>
      </c>
      <c r="DR3" s="1"/>
      <c r="DS3" s="1"/>
      <c r="DT3" s="1"/>
      <c r="DU3" s="1"/>
      <c r="DV3" s="1"/>
      <c r="DW3" s="1"/>
      <c r="DX3" s="1"/>
      <c r="DY3" s="1"/>
      <c r="DZ3" s="1"/>
      <c r="EA3" s="1"/>
      <c r="ED3" s="1" t="s">
        <v>29</v>
      </c>
      <c r="EE3" s="1"/>
      <c r="EF3" s="1"/>
      <c r="EG3" s="1"/>
      <c r="EH3" s="1"/>
      <c r="EI3" s="1"/>
      <c r="EJ3" s="1"/>
      <c r="EK3" s="1"/>
      <c r="EL3" s="1"/>
      <c r="EM3" s="1"/>
      <c r="EN3" s="1"/>
      <c r="EQ3" s="1" t="s">
        <v>30</v>
      </c>
      <c r="ER3" s="1"/>
      <c r="ES3" s="1"/>
      <c r="ET3" s="1"/>
      <c r="EU3" s="1"/>
      <c r="EV3" s="1"/>
      <c r="EW3" s="1"/>
      <c r="EX3" s="1"/>
      <c r="EY3" s="1"/>
      <c r="EZ3" s="1"/>
      <c r="FA3" s="1"/>
    </row>
    <row r="4" spans="1:157" s="3" customFormat="1" ht="12.75">
      <c r="A4" s="3" t="s">
        <v>96</v>
      </c>
      <c r="B4" s="3" t="s">
        <v>31</v>
      </c>
      <c r="C4" s="3" t="s">
        <v>36</v>
      </c>
      <c r="D4" s="3" t="s">
        <v>44</v>
      </c>
      <c r="E4" s="3" t="s">
        <v>45</v>
      </c>
      <c r="F4" s="3" t="s">
        <v>46</v>
      </c>
      <c r="G4" s="3" t="s">
        <v>47</v>
      </c>
      <c r="H4" s="3" t="s">
        <v>37</v>
      </c>
      <c r="I4" s="3" t="s">
        <v>38</v>
      </c>
      <c r="J4" s="3" t="s">
        <v>39</v>
      </c>
      <c r="K4" s="3" t="s">
        <v>40</v>
      </c>
      <c r="L4" s="3" t="s">
        <v>41</v>
      </c>
      <c r="M4" s="3" t="s">
        <v>42</v>
      </c>
      <c r="N4" s="3" t="s">
        <v>43</v>
      </c>
      <c r="O4" s="3" t="s">
        <v>31</v>
      </c>
      <c r="P4" s="3" t="s">
        <v>36</v>
      </c>
      <c r="Q4" s="3" t="s">
        <v>44</v>
      </c>
      <c r="R4" s="3" t="s">
        <v>45</v>
      </c>
      <c r="S4" s="3" t="s">
        <v>46</v>
      </c>
      <c r="T4" s="3" t="s">
        <v>47</v>
      </c>
      <c r="U4" s="3" t="s">
        <v>37</v>
      </c>
      <c r="V4" s="3" t="s">
        <v>38</v>
      </c>
      <c r="W4" s="3" t="s">
        <v>39</v>
      </c>
      <c r="X4" s="3" t="s">
        <v>40</v>
      </c>
      <c r="Y4" s="3" t="s">
        <v>41</v>
      </c>
      <c r="Z4" s="3" t="s">
        <v>42</v>
      </c>
      <c r="AA4" s="3" t="s">
        <v>43</v>
      </c>
      <c r="AB4" s="3" t="s">
        <v>31</v>
      </c>
      <c r="AC4" s="3" t="s">
        <v>36</v>
      </c>
      <c r="AD4" s="3" t="s">
        <v>44</v>
      </c>
      <c r="AE4" s="3" t="s">
        <v>45</v>
      </c>
      <c r="AF4" s="3" t="s">
        <v>46</v>
      </c>
      <c r="AG4" s="3" t="s">
        <v>47</v>
      </c>
      <c r="AH4" s="3" t="s">
        <v>37</v>
      </c>
      <c r="AI4" s="3" t="s">
        <v>38</v>
      </c>
      <c r="AJ4" s="3" t="s">
        <v>39</v>
      </c>
      <c r="AK4" s="3" t="s">
        <v>40</v>
      </c>
      <c r="AL4" s="3" t="s">
        <v>41</v>
      </c>
      <c r="AM4" s="3" t="s">
        <v>42</v>
      </c>
      <c r="AN4" s="3" t="s">
        <v>43</v>
      </c>
      <c r="AO4" s="3" t="s">
        <v>31</v>
      </c>
      <c r="AP4" s="3" t="s">
        <v>36</v>
      </c>
      <c r="AQ4" s="3" t="s">
        <v>44</v>
      </c>
      <c r="AR4" s="3" t="s">
        <v>45</v>
      </c>
      <c r="AS4" s="3" t="s">
        <v>46</v>
      </c>
      <c r="AT4" s="3" t="s">
        <v>47</v>
      </c>
      <c r="AU4" s="3" t="s">
        <v>37</v>
      </c>
      <c r="AV4" s="3" t="s">
        <v>38</v>
      </c>
      <c r="AW4" s="3" t="s">
        <v>39</v>
      </c>
      <c r="AX4" s="3" t="s">
        <v>40</v>
      </c>
      <c r="AY4" s="3" t="s">
        <v>41</v>
      </c>
      <c r="AZ4" s="3" t="s">
        <v>42</v>
      </c>
      <c r="BA4" s="3" t="s">
        <v>43</v>
      </c>
      <c r="BB4" s="4" t="s">
        <v>91</v>
      </c>
      <c r="BC4" s="3" t="s">
        <v>36</v>
      </c>
      <c r="BD4" s="3" t="s">
        <v>44</v>
      </c>
      <c r="BE4" s="3" t="s">
        <v>45</v>
      </c>
      <c r="BF4" s="3" t="s">
        <v>46</v>
      </c>
      <c r="BG4" s="3" t="s">
        <v>47</v>
      </c>
      <c r="BH4" s="3" t="s">
        <v>37</v>
      </c>
      <c r="BI4" s="3" t="s">
        <v>38</v>
      </c>
      <c r="BJ4" s="3" t="s">
        <v>39</v>
      </c>
      <c r="BK4" s="3" t="s">
        <v>40</v>
      </c>
      <c r="BL4" s="3" t="s">
        <v>41</v>
      </c>
      <c r="BM4" s="3" t="s">
        <v>42</v>
      </c>
      <c r="BN4" s="3" t="s">
        <v>43</v>
      </c>
      <c r="BO4" s="3" t="s">
        <v>91</v>
      </c>
      <c r="BP4" s="3" t="s">
        <v>36</v>
      </c>
      <c r="BQ4" s="3" t="s">
        <v>44</v>
      </c>
      <c r="BR4" s="3" t="s">
        <v>45</v>
      </c>
      <c r="BS4" s="3" t="s">
        <v>46</v>
      </c>
      <c r="BT4" s="3" t="s">
        <v>47</v>
      </c>
      <c r="BU4" s="3" t="s">
        <v>37</v>
      </c>
      <c r="BV4" s="3" t="s">
        <v>38</v>
      </c>
      <c r="BW4" s="3" t="s">
        <v>39</v>
      </c>
      <c r="BX4" s="3" t="s">
        <v>40</v>
      </c>
      <c r="BY4" s="3" t="s">
        <v>41</v>
      </c>
      <c r="BZ4" s="3" t="s">
        <v>42</v>
      </c>
      <c r="CA4" s="3" t="s">
        <v>43</v>
      </c>
      <c r="CB4" s="3" t="s">
        <v>91</v>
      </c>
      <c r="CC4" s="3" t="s">
        <v>36</v>
      </c>
      <c r="CD4" s="3" t="s">
        <v>44</v>
      </c>
      <c r="CE4" s="3" t="s">
        <v>45</v>
      </c>
      <c r="CF4" s="3" t="s">
        <v>46</v>
      </c>
      <c r="CG4" s="3" t="s">
        <v>47</v>
      </c>
      <c r="CH4" s="3" t="s">
        <v>37</v>
      </c>
      <c r="CI4" s="3" t="s">
        <v>38</v>
      </c>
      <c r="CJ4" s="3" t="s">
        <v>39</v>
      </c>
      <c r="CK4" s="3" t="s">
        <v>40</v>
      </c>
      <c r="CL4" s="3" t="s">
        <v>41</v>
      </c>
      <c r="CM4" s="3" t="s">
        <v>42</v>
      </c>
      <c r="CN4" s="3" t="s">
        <v>43</v>
      </c>
      <c r="CO4" s="3" t="s">
        <v>91</v>
      </c>
      <c r="CP4" s="3" t="s">
        <v>36</v>
      </c>
      <c r="CQ4" s="3" t="s">
        <v>44</v>
      </c>
      <c r="CR4" s="3" t="s">
        <v>45</v>
      </c>
      <c r="CS4" s="3" t="s">
        <v>46</v>
      </c>
      <c r="CT4" s="3" t="s">
        <v>47</v>
      </c>
      <c r="CU4" s="3" t="s">
        <v>37</v>
      </c>
      <c r="CV4" s="3" t="s">
        <v>38</v>
      </c>
      <c r="CW4" s="3" t="s">
        <v>39</v>
      </c>
      <c r="CX4" s="3" t="s">
        <v>40</v>
      </c>
      <c r="CY4" s="3" t="s">
        <v>41</v>
      </c>
      <c r="CZ4" s="3" t="s">
        <v>42</v>
      </c>
      <c r="DA4" s="3" t="s">
        <v>43</v>
      </c>
      <c r="DB4" s="3" t="s">
        <v>91</v>
      </c>
      <c r="DC4" s="3" t="s">
        <v>36</v>
      </c>
      <c r="DD4" s="3" t="s">
        <v>44</v>
      </c>
      <c r="DE4" s="3" t="s">
        <v>45</v>
      </c>
      <c r="DF4" s="3" t="s">
        <v>46</v>
      </c>
      <c r="DG4" s="3" t="s">
        <v>47</v>
      </c>
      <c r="DH4" s="3" t="s">
        <v>37</v>
      </c>
      <c r="DI4" s="3" t="s">
        <v>38</v>
      </c>
      <c r="DJ4" s="3" t="s">
        <v>39</v>
      </c>
      <c r="DK4" s="3" t="s">
        <v>40</v>
      </c>
      <c r="DL4" s="3" t="s">
        <v>41</v>
      </c>
      <c r="DM4" s="3" t="s">
        <v>42</v>
      </c>
      <c r="DN4" s="3" t="s">
        <v>43</v>
      </c>
      <c r="DO4" s="3" t="s">
        <v>91</v>
      </c>
      <c r="DP4" s="3" t="s">
        <v>36</v>
      </c>
      <c r="DQ4" s="3" t="s">
        <v>44</v>
      </c>
      <c r="DR4" s="3" t="s">
        <v>45</v>
      </c>
      <c r="DS4" s="3" t="s">
        <v>46</v>
      </c>
      <c r="DT4" s="3" t="s">
        <v>47</v>
      </c>
      <c r="DU4" s="3" t="s">
        <v>37</v>
      </c>
      <c r="DV4" s="3" t="s">
        <v>38</v>
      </c>
      <c r="DW4" s="3" t="s">
        <v>39</v>
      </c>
      <c r="DX4" s="3" t="s">
        <v>40</v>
      </c>
      <c r="DY4" s="3" t="s">
        <v>41</v>
      </c>
      <c r="DZ4" s="3" t="s">
        <v>42</v>
      </c>
      <c r="EA4" s="3" t="s">
        <v>43</v>
      </c>
      <c r="EB4" s="3" t="s">
        <v>91</v>
      </c>
      <c r="EC4" s="3" t="s">
        <v>36</v>
      </c>
      <c r="ED4" s="3" t="s">
        <v>44</v>
      </c>
      <c r="EE4" s="3" t="s">
        <v>45</v>
      </c>
      <c r="EF4" s="3" t="s">
        <v>46</v>
      </c>
      <c r="EG4" s="3" t="s">
        <v>47</v>
      </c>
      <c r="EH4" s="3" t="s">
        <v>37</v>
      </c>
      <c r="EI4" s="3" t="s">
        <v>38</v>
      </c>
      <c r="EJ4" s="3" t="s">
        <v>39</v>
      </c>
      <c r="EK4" s="3" t="s">
        <v>40</v>
      </c>
      <c r="EL4" s="3" t="s">
        <v>41</v>
      </c>
      <c r="EM4" s="3" t="s">
        <v>42</v>
      </c>
      <c r="EN4" s="3" t="s">
        <v>43</v>
      </c>
      <c r="EO4" s="3" t="s">
        <v>91</v>
      </c>
      <c r="EP4" s="3" t="s">
        <v>36</v>
      </c>
      <c r="EQ4" s="3" t="s">
        <v>44</v>
      </c>
      <c r="ER4" s="3" t="s">
        <v>45</v>
      </c>
      <c r="ES4" s="3" t="s">
        <v>46</v>
      </c>
      <c r="ET4" s="3" t="s">
        <v>47</v>
      </c>
      <c r="EU4" s="3" t="s">
        <v>37</v>
      </c>
      <c r="EV4" s="3" t="s">
        <v>38</v>
      </c>
      <c r="EW4" s="3" t="s">
        <v>39</v>
      </c>
      <c r="EX4" s="3" t="s">
        <v>40</v>
      </c>
      <c r="EY4" s="3" t="s">
        <v>41</v>
      </c>
      <c r="EZ4" s="3" t="s">
        <v>42</v>
      </c>
      <c r="FA4" s="3" t="s">
        <v>43</v>
      </c>
    </row>
    <row r="5" spans="1:157" ht="12.75">
      <c r="A5">
        <f>cond!I5</f>
        <v>1</v>
      </c>
      <c r="B5">
        <f>cond!B5</f>
        <v>50490170</v>
      </c>
      <c r="C5" t="str">
        <f>cond!C5</f>
        <v>Oil</v>
      </c>
      <c r="D5">
        <f>A5*cond!CY5</f>
        <v>853.3819580092343</v>
      </c>
      <c r="E5">
        <f>SQRT(A5*cond!CZ5^2+A5*(1-A5)*cond!CY5^2)</f>
        <v>440.8323797126197</v>
      </c>
      <c r="F5">
        <f>cond!DA5</f>
        <v>6.630942210417412</v>
      </c>
      <c r="G5">
        <f>cond!DB5</f>
        <v>0.48634353867763835</v>
      </c>
      <c r="H5">
        <f>IF(A5=1,cond!DC5,0)</f>
        <v>0.464</v>
      </c>
      <c r="I5">
        <f>IF(A5&gt;0.95,EXP(F5+NORMSINV(1-0.95/A5)*G5),0)</f>
        <v>340.69180701719625</v>
      </c>
      <c r="J5">
        <f>IF(A5&gt;0.75,EXP(F5+NORMSINV(1-0.75/A5)*G5),0)</f>
        <v>546.1580913899926</v>
      </c>
      <c r="K5">
        <f>IF(A5&gt;0.5,EXP(F5+NORMSINV(1-0.5/A5)*G5),0)</f>
        <v>758.196214570981</v>
      </c>
      <c r="L5">
        <f>IF(A5&gt;0.25,EXP(F5+NORMSINV(1-0.25/A5)*G5),0)</f>
        <v>1052.555127997319</v>
      </c>
      <c r="M5">
        <f>IF(A5&gt;0.05,EXP(F5+NORMSINV(1-0.05/A5)*G5),0)</f>
        <v>1687.3358500245624</v>
      </c>
      <c r="N5">
        <f>cond!DI5</f>
        <v>90605</v>
      </c>
      <c r="O5">
        <f>cond!B5</f>
        <v>50490170</v>
      </c>
      <c r="P5" t="str">
        <f>cond!C5</f>
        <v>Oil</v>
      </c>
      <c r="Q5">
        <f>A5*cond!DL5</f>
        <v>1706.7639160184685</v>
      </c>
      <c r="R5">
        <f>SQRT(A5*cond!DM5^2+A5*(1-A5)*cond!DL5^2)</f>
        <v>964.9344054850703</v>
      </c>
      <c r="S5">
        <f>cond!DN5</f>
        <v>7.303678393717229</v>
      </c>
      <c r="T5">
        <f>cond!DO5</f>
        <v>0.5266422240323525</v>
      </c>
      <c r="U5">
        <f>IF(A5=1,cond!DP5,0)</f>
        <v>0.464</v>
      </c>
      <c r="V5">
        <f>IF(A5&gt;0.95,EXP(S5+NORMSINV(1-0.95/A5)*T5),0)</f>
        <v>624.7983898214655</v>
      </c>
      <c r="W5">
        <f>IF(A5&gt;0.75,EXP(S5+NORMSINV(1-0.75/A5)*T5),0)</f>
        <v>1041.5482755664764</v>
      </c>
      <c r="X5">
        <f>IF(A5&gt;0.5,EXP(S5+NORMSINV(1-0.5/A5)*T5),0)</f>
        <v>1485.7550804869209</v>
      </c>
      <c r="Y5">
        <f>IF(A5&gt;0.25,EXP(S5+NORMSINV(1-0.25/A5)*T5),0)</f>
        <v>2119.410315371221</v>
      </c>
      <c r="Z5">
        <f>IF(A5&gt;0.05,EXP(S5+NORMSINV(1-0.05/A5)*T5),0)</f>
        <v>3533.088745352681</v>
      </c>
      <c r="AA5">
        <f>cond!DV5</f>
        <v>271815</v>
      </c>
      <c r="AB5">
        <f>cond!B5</f>
        <v>50490170</v>
      </c>
      <c r="AC5" t="str">
        <f>cond!C5</f>
        <v>Oil</v>
      </c>
      <c r="AD5">
        <f>A5*cond!DY5</f>
        <v>34.135278320369366</v>
      </c>
      <c r="AE5">
        <f>SQRT(A5*cond!DZ5^2+A5*(1-A5)*cond!DY5^2)</f>
        <v>20.89278313885896</v>
      </c>
      <c r="AF5">
        <f>cond!EA5</f>
        <v>3.3712443910289553</v>
      </c>
      <c r="AG5">
        <f>cond!EB5</f>
        <v>0.5640691683242383</v>
      </c>
      <c r="AH5">
        <f>IF(A5=1,cond!EC5,0)</f>
        <v>0.004640000000000001</v>
      </c>
      <c r="AI5">
        <f>IF(A5&gt;0.95,EXP(AF5+NORMSINV(1-0.95/A5)*AG5),0)</f>
        <v>11.5124973760472</v>
      </c>
      <c r="AJ5">
        <f>IF(A5&gt;0.75,EXP(AF5+NORMSINV(1-0.75/A5)*AG5),0)</f>
        <v>19.90130920162107</v>
      </c>
      <c r="AK5">
        <f>IF(A5&gt;0.5,EXP(AF5+NORMSINV(1-0.5/A5)*AG5),0)</f>
        <v>29.11473463952566</v>
      </c>
      <c r="AL5">
        <f>IF(A5&gt;0.25,EXP(AF5+NORMSINV(1-0.25/A5)*AG5),0)</f>
        <v>42.59356831966352</v>
      </c>
      <c r="AM5">
        <f>IF(A5&gt;0.05,EXP(AF5+NORMSINV(1-0.05/A5)*AG5),0)</f>
        <v>73.63022508857594</v>
      </c>
      <c r="AN5">
        <f>cond!EI5</f>
        <v>8154.45</v>
      </c>
      <c r="AO5">
        <f>cond!B5</f>
        <v>50490170</v>
      </c>
      <c r="AP5" t="str">
        <f>cond!C5</f>
        <v>Oil</v>
      </c>
      <c r="AQ5">
        <f>A5*cond!EL5</f>
        <v>1171.9778889993484</v>
      </c>
      <c r="AR5">
        <f>SQRT(A5*cond!EM5^2+A5*(1-A5)*cond!EL5^2)</f>
        <v>609.8712779768201</v>
      </c>
      <c r="AS5">
        <f>cond!EN5</f>
        <v>6.946627523997864</v>
      </c>
      <c r="AT5">
        <f>cond!EO5</f>
        <v>0.4895315718513291</v>
      </c>
      <c r="AU5">
        <f>IF(A5=1,cond!EP5,0)</f>
        <v>0.5459733333333334</v>
      </c>
      <c r="AV5">
        <f>IF(A5&gt;0.95,EXP(AS5+NORMSINV(1-0.95/A5)*AT5),0)</f>
        <v>464.7128753610407</v>
      </c>
      <c r="AW5">
        <f>IF(A5&gt;0.75,EXP(AS5+NORMSINV(1-0.75/A5)*AT5),0)</f>
        <v>747.2826519685387</v>
      </c>
      <c r="AX5">
        <f>IF(A5&gt;0.5,EXP(AS5+NORMSINV(1-0.5/A5)*AT5),0)</f>
        <v>1039.637656273232</v>
      </c>
      <c r="AY5">
        <f>IF(A5&gt;0.25,EXP(AS5+NORMSINV(1-0.25/A5)*AT5),0)</f>
        <v>1446.3689923672998</v>
      </c>
      <c r="AZ5">
        <f>IF(A5&gt;0.05,EXP(AS5+NORMSINV(1-0.05/A5)*AT5),0)</f>
        <v>2325.8371214732906</v>
      </c>
      <c r="BA5">
        <f>cond!EV5</f>
        <v>144061.94999999998</v>
      </c>
      <c r="BB5" t="str">
        <f>cond!AA5</f>
        <v>Texas</v>
      </c>
      <c r="BC5" t="str">
        <f>cond!C5</f>
        <v>Oil</v>
      </c>
      <c r="BD5">
        <f>A5*cond!EY5</f>
        <v>502.47129687583714</v>
      </c>
      <c r="BE5">
        <f>SQRT(A5*cond!EZ5^2+A5*(1-A5)*cond!EY5^2)</f>
        <v>259.5621051747905</v>
      </c>
      <c r="BF5">
        <f>cond!FA5</f>
        <v>6.101273498849941</v>
      </c>
      <c r="BG5">
        <f>cond!FB5</f>
        <v>0.48634353867763835</v>
      </c>
      <c r="BH5">
        <f>IF(A5=1,cond!FC5,0)</f>
        <v>0.27320320000000003</v>
      </c>
      <c r="BI5">
        <f>IF(A5&gt;0.95,EXP(BF5+NORMSINV(1-0.95/A5)*BG5),0)</f>
        <v>200.5993359717251</v>
      </c>
      <c r="BJ5">
        <f>IF(A5&gt;0.75,EXP(BF5+NORMSINV(1-0.75/A5)*BG5),0)</f>
        <v>321.57788421042756</v>
      </c>
      <c r="BK5">
        <f>IF(A5&gt;0.5,EXP(BF5+NORMSINV(1-0.5/A5)*BG5),0)</f>
        <v>446.4259311393935</v>
      </c>
      <c r="BL5">
        <f>IF(A5&gt;0.25,EXP(BF5+NORMSINV(1-0.25/A5)*BG5),0)</f>
        <v>619.7444593648213</v>
      </c>
      <c r="BM5">
        <f>IF(A5&gt;0.05,EXP(BF5+NORMSINV(1-0.05/A5)*BG5),0)</f>
        <v>993.5033484944622</v>
      </c>
      <c r="BN5">
        <f>cond!FI5</f>
        <v>53348.224</v>
      </c>
      <c r="BO5" t="str">
        <f>cond!AA5</f>
        <v>Texas</v>
      </c>
      <c r="BP5" t="str">
        <f>cond!C5</f>
        <v>Oil</v>
      </c>
      <c r="BQ5">
        <f>A5*cond!FL5</f>
        <v>1004.9425937516743</v>
      </c>
      <c r="BR5">
        <f>SQRT(A5*cond!FM5^2+A5*(1-A5)*cond!FL5^2)</f>
        <v>568.1533779496094</v>
      </c>
      <c r="BS5">
        <f>cond!FN5</f>
        <v>6.774009682149758</v>
      </c>
      <c r="BT5">
        <f>cond!FO5</f>
        <v>0.5266422240323525</v>
      </c>
      <c r="BU5">
        <f>IF(A5=1,cond!FP5,0)</f>
        <v>0.27320320000000003</v>
      </c>
      <c r="BV5">
        <f>IF(A5&gt;0.95,EXP(BS5+NORMSINV(1-0.95/A5)*BT5),0)</f>
        <v>367.8812919268789</v>
      </c>
      <c r="BW5">
        <f>IF(A5&gt;0.75,EXP(BS5+NORMSINV(1-0.75/A5)*BT5),0)</f>
        <v>613.2636246535411</v>
      </c>
      <c r="BX5">
        <f>IF(A5&gt;0.5,EXP(BS5+NORMSINV(1-0.5/A5)*BT5),0)</f>
        <v>874.8125913906989</v>
      </c>
      <c r="BY5">
        <f>IF(A5&gt;0.25,EXP(BS5+NORMSINV(1-0.25/A5)*BT5),0)</f>
        <v>1247.9087936905746</v>
      </c>
      <c r="BZ5">
        <f>IF(A5&gt;0.05,EXP(BS5+NORMSINV(1-0.05/A5)*BT5),0)</f>
        <v>2080.282653263658</v>
      </c>
      <c r="CA5">
        <f>cond!FV5</f>
        <v>160044.67200000002</v>
      </c>
      <c r="CB5" t="str">
        <f>cond!AA5</f>
        <v>Texas</v>
      </c>
      <c r="CC5" t="str">
        <f>cond!C5</f>
        <v>Oil</v>
      </c>
      <c r="CD5">
        <f>A5*cond!FY5</f>
        <v>20.098851875033482</v>
      </c>
      <c r="CE5">
        <f>SQRT(A5*cond!FZ5^2+A5*(1-A5)*cond!FY5^2)</f>
        <v>12.301670712160156</v>
      </c>
      <c r="CF5">
        <f>cond!GA5</f>
        <v>2.8415756794614846</v>
      </c>
      <c r="CG5">
        <f>cond!GB5</f>
        <v>0.5640691683242383</v>
      </c>
      <c r="CH5">
        <f>IF(A5=1,cond!GC5,0)</f>
        <v>0.002732032000000001</v>
      </c>
      <c r="CI5">
        <f>IF(A5&gt;0.95,EXP(CF5+NORMSINV(1-0.95/A5)*CG5),0)</f>
        <v>6.77855845501659</v>
      </c>
      <c r="CJ5">
        <f>IF(A5&gt;0.75,EXP(CF5+NORMSINV(1-0.75/A5)*CG5),0)</f>
        <v>11.717890857914485</v>
      </c>
      <c r="CK5">
        <f>IF(A5&gt;0.5,EXP(CF5+NORMSINV(1-0.5/A5)*CG5),0)</f>
        <v>17.142755755752706</v>
      </c>
      <c r="CL5">
        <f>IF(A5&gt;0.25,EXP(CF5+NORMSINV(1-0.25/A5)*CG5),0)</f>
        <v>25.079093026617873</v>
      </c>
      <c r="CM5">
        <f>IF(A5&gt;0.05,EXP(CF5+NORMSINV(1-0.05/A5)*CG5),0)</f>
        <v>43.35347653215351</v>
      </c>
      <c r="CN5">
        <f>cond!GI5</f>
        <v>4801.34016</v>
      </c>
      <c r="CO5" t="str">
        <f>cond!AA5</f>
        <v>Texas</v>
      </c>
      <c r="CP5" t="str">
        <f>cond!C5</f>
        <v>Oil</v>
      </c>
      <c r="CQ5">
        <f>A5*cond!GL5</f>
        <v>690.0605810428164</v>
      </c>
      <c r="CR5">
        <f>SQRT(A5*cond!GM5^2+A5*(1-A5)*cond!GL5^2)</f>
        <v>359.09220847275174</v>
      </c>
      <c r="CS5">
        <f>cond!GN5</f>
        <v>6.416958812430393</v>
      </c>
      <c r="CT5">
        <f>cond!GO5</f>
        <v>0.4895315718513291</v>
      </c>
      <c r="CU5">
        <f>IF(A5=1,cond!GP5,0)</f>
        <v>0.32146909866666673</v>
      </c>
      <c r="CV5">
        <f>IF(A5&gt;0.95,EXP(CS5+NORMSINV(1-0.95/A5)*CT5),0)</f>
        <v>273.6229410125807</v>
      </c>
      <c r="CW5">
        <f>IF(A5&gt;0.75,EXP(CS5+NORMSINV(1-0.75/A5)*CT5),0)</f>
        <v>440.00002547907553</v>
      </c>
      <c r="CX5">
        <f>IF(A5&gt;0.5,EXP(CS5+NORMSINV(1-0.5/A5)*CT5),0)</f>
        <v>612.1386520136789</v>
      </c>
      <c r="CY5">
        <f>IF(A5&gt;0.25,EXP(CS5+NORMSINV(1-0.25/A5)*CT5),0)</f>
        <v>851.6220627058659</v>
      </c>
      <c r="CZ5">
        <f>IF(A5&gt;0.05,EXP(CS5+NORMSINV(1-0.05/A5)*CT5),0)</f>
        <v>1369.4528971234733</v>
      </c>
      <c r="DA5">
        <f>cond!GV5</f>
        <v>84823.67615999999</v>
      </c>
      <c r="DB5" t="str">
        <f>cond!AA5</f>
        <v>Texas</v>
      </c>
      <c r="DC5" t="str">
        <f>cond!C5</f>
        <v>Oil</v>
      </c>
      <c r="DD5">
        <f>A5*cond!GY5</f>
        <v>0</v>
      </c>
      <c r="DE5">
        <f>SQRT(A5*cond!GZ5^2+A5*(1-A5)*cond!GY5^2)</f>
        <v>0</v>
      </c>
      <c r="DF5" t="e">
        <f>cond!HA5</f>
        <v>#DIV/0!</v>
      </c>
      <c r="DG5" t="e">
        <f>cond!HB5</f>
        <v>#DIV/0!</v>
      </c>
      <c r="DH5">
        <f>IF(A5=1,cond!HC5,0)</f>
        <v>0</v>
      </c>
      <c r="DI5" t="e">
        <f>IF(A5&gt;0.95,EXP(DF5+NORMSINV(1-0.95/A5)*DG5),0)</f>
        <v>#DIV/0!</v>
      </c>
      <c r="DJ5" t="e">
        <f>IF(A5&gt;0.75,EXP(DF5+NORMSINV(1-0.75/A5)*DG5),0)</f>
        <v>#DIV/0!</v>
      </c>
      <c r="DK5" t="e">
        <f>IF(A5&gt;0.5,EXP(DF5+NORMSINV(1-0.5/A5)*DG5),0)</f>
        <v>#DIV/0!</v>
      </c>
      <c r="DL5" t="e">
        <f>IF(A5&gt;0.25,EXP(DF5+NORMSINV(1-0.25/A5)*DG5),0)</f>
        <v>#DIV/0!</v>
      </c>
      <c r="DM5" t="e">
        <f>IF(A5&gt;0.05,EXP(DF5+NORMSINV(1-0.05/A5)*DG5),0)</f>
        <v>#DIV/0!</v>
      </c>
      <c r="DN5">
        <f>cond!HI5</f>
        <v>0</v>
      </c>
      <c r="DO5" t="str">
        <f>cond!AA5</f>
        <v>Texas</v>
      </c>
      <c r="DP5" t="str">
        <f>cond!C5</f>
        <v>Oil</v>
      </c>
      <c r="DQ5">
        <f>A5*cond!HL5</f>
        <v>0</v>
      </c>
      <c r="DR5">
        <f>SQRT(A5*cond!HM5^2+A5*(1-A5)*cond!HL5^2)</f>
        <v>0</v>
      </c>
      <c r="DS5" t="e">
        <f>cond!HN5</f>
        <v>#DIV/0!</v>
      </c>
      <c r="DT5" t="e">
        <f>cond!HO5</f>
        <v>#DIV/0!</v>
      </c>
      <c r="DU5">
        <f>IF(A5=1,cond!HP5,0)</f>
        <v>0</v>
      </c>
      <c r="DV5" t="e">
        <f>IF(A5&gt;0.95,EXP(DS5+NORMSINV(1-0.95/A5)*DT5),0)</f>
        <v>#DIV/0!</v>
      </c>
      <c r="DW5" t="e">
        <f>IF(A5&gt;0.75,EXP(DS5+NORMSINV(1-0.75/A5)*DT5),0)</f>
        <v>#DIV/0!</v>
      </c>
      <c r="DX5" t="e">
        <f>IF(A5&gt;0.5,EXP(DS5+NORMSINV(1-0.5/A5)*DT5),0)</f>
        <v>#DIV/0!</v>
      </c>
      <c r="DY5" t="e">
        <f>IF(A5&gt;0.25,EXP(DS5+NORMSINV(1-0.25/A5)*DT5),0)</f>
        <v>#DIV/0!</v>
      </c>
      <c r="DZ5" t="e">
        <f>IF(A5&gt;0.05,EXP(DS5+NORMSINV(1-0.05/A5)*DT5),0)</f>
        <v>#DIV/0!</v>
      </c>
      <c r="EA5">
        <f>cond!HV5</f>
        <v>0</v>
      </c>
      <c r="EB5" t="str">
        <f>cond!AA5</f>
        <v>Texas</v>
      </c>
      <c r="EC5" t="str">
        <f>cond!C5</f>
        <v>Oil</v>
      </c>
      <c r="ED5">
        <f>A5*cond!HY5</f>
        <v>0</v>
      </c>
      <c r="EE5">
        <f>SQRT(A5*cond!HZ5^2+A5*(1-A5)*cond!HY5^2)</f>
        <v>0</v>
      </c>
      <c r="EF5" t="e">
        <f>cond!IA5</f>
        <v>#DIV/0!</v>
      </c>
      <c r="EG5" t="e">
        <f>cond!IB5</f>
        <v>#DIV/0!</v>
      </c>
      <c r="EH5">
        <f>IF(A5=1,cond!IC5,0)</f>
        <v>0</v>
      </c>
      <c r="EI5" t="e">
        <f>IF(A5&gt;0.95,EXP(EF5+NORMSINV(1-0.95/A5)*EG5),0)</f>
        <v>#DIV/0!</v>
      </c>
      <c r="EJ5" t="e">
        <f>IF(A5&gt;0.75,EXP(EF5+NORMSINV(1-0.75/A5)*EG5),0)</f>
        <v>#DIV/0!</v>
      </c>
      <c r="EK5" t="e">
        <f>IF(A5&gt;0.5,EXP(EF5+NORMSINV(1-0.5/A5)*EG5),0)</f>
        <v>#DIV/0!</v>
      </c>
      <c r="EL5" t="e">
        <f>IF(A5&gt;0.25,EXP(EF5+NORMSINV(1-0.25/A5)*EG5),0)</f>
        <v>#DIV/0!</v>
      </c>
      <c r="EM5" t="e">
        <f>IF(A5&gt;0.05,EXP(EF5+NORMSINV(1-0.05/A5)*EG5),0)</f>
        <v>#DIV/0!</v>
      </c>
      <c r="EN5">
        <f>cond!II5</f>
        <v>0</v>
      </c>
      <c r="EO5" t="str">
        <f>cond!AA5</f>
        <v>Texas</v>
      </c>
      <c r="EP5" t="str">
        <f>cond!C5</f>
        <v>Oil</v>
      </c>
      <c r="EQ5">
        <f>A5*cond!IL5</f>
        <v>0</v>
      </c>
      <c r="ER5">
        <f>SQRT(A5*cond!IM5^2+A5*(1-A5)*cond!IL5^2)</f>
        <v>0</v>
      </c>
      <c r="ES5" t="e">
        <f>cond!IN5</f>
        <v>#DIV/0!</v>
      </c>
      <c r="ET5" t="e">
        <f>cond!IO5</f>
        <v>#DIV/0!</v>
      </c>
      <c r="EU5">
        <f>IF(A5=1,cond!IP5,0)</f>
        <v>0</v>
      </c>
      <c r="EV5" t="e">
        <f>IF(A5&gt;0.95,EXP(ES5+NORMSINV(1-0.95/A5)*ET5),0)</f>
        <v>#DIV/0!</v>
      </c>
      <c r="EW5" t="e">
        <f>IF(A5&gt;0.75,EXP(ES5+NORMSINV(1-0.75/A5)*ET5),0)</f>
        <v>#DIV/0!</v>
      </c>
      <c r="EX5" t="e">
        <f>IF(A5&gt;0.5,EXP(ES5+NORMSINV(1-0.5/A5)*ET5),0)</f>
        <v>#DIV/0!</v>
      </c>
      <c r="EY5" t="e">
        <f>IF(A5&gt;0.25,EXP(ES5+NORMSINV(1-0.25/A5)*ET5),0)</f>
        <v>#DIV/0!</v>
      </c>
      <c r="EZ5" t="e">
        <f>IF(A5&gt;0.05,EXP(ES5+NORMSINV(1-0.05/A5)*ET5),0)</f>
        <v>#DIV/0!</v>
      </c>
      <c r="FA5">
        <f>cond!IV5</f>
        <v>0</v>
      </c>
    </row>
    <row r="6" spans="1:157" ht="12.75">
      <c r="A6">
        <f>cond!I6</f>
        <v>1</v>
      </c>
      <c r="B6">
        <f>cond!B6</f>
        <v>50620261</v>
      </c>
      <c r="C6" t="str">
        <f>cond!C6</f>
        <v>Gas</v>
      </c>
      <c r="D6">
        <f>A6*cond!CY6</f>
        <v>10678.333082382152</v>
      </c>
      <c r="E6">
        <f>SQRT(A6*cond!CZ6^2+A6*(1-A6)*cond!CY6^2)</f>
        <v>3436.6266349766165</v>
      </c>
      <c r="F6">
        <f>cond!DA6</f>
        <v>9.226694260628236</v>
      </c>
      <c r="G6">
        <f>cond!DB6</f>
        <v>0.31393553884773107</v>
      </c>
      <c r="H6">
        <f>IF(A6=1,cond!DC6,0)</f>
        <v>34.800000000000004</v>
      </c>
      <c r="I6">
        <f>IF(A6&gt;0.95,EXP(F6+NORMSINV(1-0.95/A6)*G6),0)</f>
        <v>6065.160297323452</v>
      </c>
      <c r="J6">
        <f>IF(A6&gt;0.75,EXP(F6+NORMSINV(1-0.75/A6)*G6),0)</f>
        <v>8225.118291316709</v>
      </c>
      <c r="K6">
        <f>IF(A6&gt;0.5,EXP(F6+NORMSINV(1-0.5/A6)*G6),0)</f>
        <v>10164.883454529365</v>
      </c>
      <c r="L6">
        <f>IF(A6&gt;0.25,EXP(F6+NORMSINV(1-0.25/A6)*G6),0)</f>
        <v>12562.111812208865</v>
      </c>
      <c r="M6">
        <f>IF(A6&gt;0.05,EXP(F6+NORMSINV(1-0.05/A6)*G6),0)</f>
        <v>17035.799645684874</v>
      </c>
      <c r="N6">
        <f>cond!DI6</f>
        <v>731730</v>
      </c>
      <c r="O6">
        <f>cond!B6</f>
        <v>50620261</v>
      </c>
      <c r="P6" t="str">
        <f>cond!C6</f>
        <v>Gas</v>
      </c>
      <c r="Q6">
        <f>A6*cond!DL6</f>
        <v>142.37777443176205</v>
      </c>
      <c r="R6">
        <f>SQRT(A6*cond!DM6^2+A6*(1-A6)*cond!DL6^2)</f>
        <v>115.26125119454663</v>
      </c>
      <c r="S6">
        <f>cond!DN6</f>
        <v>4.706473593037843</v>
      </c>
      <c r="T6">
        <f>cond!DO6</f>
        <v>0.7099441038981729</v>
      </c>
      <c r="U6">
        <f>IF(A6=1,cond!DP6,0)</f>
        <v>0</v>
      </c>
      <c r="V6">
        <f>IF(A6&gt;0.95,EXP(S6+NORMSINV(1-0.95/A6)*T6),0)</f>
        <v>34.4228111281992</v>
      </c>
      <c r="W6">
        <f>IF(A6&gt;0.75,EXP(S6+NORMSINV(1-0.75/A6)*T6),0)</f>
        <v>68.5541244854191</v>
      </c>
      <c r="X6">
        <f>IF(A6&gt;0.5,EXP(S6+NORMSINV(1-0.5/A6)*T6),0)</f>
        <v>110.66123448202715</v>
      </c>
      <c r="Y6">
        <f>IF(A6&gt;0.25,EXP(S6+NORMSINV(1-0.25/A6)*T6),0)</f>
        <v>178.63124806868186</v>
      </c>
      <c r="Z6">
        <f>IF(A6&gt;0.05,EXP(S6+NORMSINV(1-0.05/A6)*T6),0)</f>
        <v>355.7498186734185</v>
      </c>
      <c r="AA6">
        <f>cond!DV6</f>
        <v>29269.2</v>
      </c>
      <c r="AB6">
        <f>cond!B6</f>
        <v>50620261</v>
      </c>
      <c r="AC6" t="str">
        <f>cond!C6</f>
        <v>Gas</v>
      </c>
      <c r="AD6">
        <f>A6*cond!DY6</f>
        <v>0</v>
      </c>
      <c r="AE6">
        <f>SQRT(A6*cond!DZ6^2+A6*(1-A6)*cond!DY6^2)</f>
        <v>0</v>
      </c>
      <c r="AF6" t="e">
        <f>cond!EA6</f>
        <v>#DIV/0!</v>
      </c>
      <c r="AG6" t="e">
        <f>cond!EB6</f>
        <v>#DIV/0!</v>
      </c>
      <c r="AH6">
        <f>IF(A6=1,cond!EC6,0)</f>
        <v>0</v>
      </c>
      <c r="AI6" t="e">
        <f>IF(A6&gt;0.95,EXP(AF6+NORMSINV(1-0.95/A6)*AG6),0)</f>
        <v>#DIV/0!</v>
      </c>
      <c r="AJ6" t="e">
        <f>IF(A6&gt;0.75,EXP(AF6+NORMSINV(1-0.75/A6)*AG6),0)</f>
        <v>#DIV/0!</v>
      </c>
      <c r="AK6" t="e">
        <f>IF(A6&gt;0.5,EXP(AF6+NORMSINV(1-0.5/A6)*AG6),0)</f>
        <v>#DIV/0!</v>
      </c>
      <c r="AL6" t="e">
        <f>IF(A6&gt;0.25,EXP(AF6+NORMSINV(1-0.25/A6)*AG6),0)</f>
        <v>#DIV/0!</v>
      </c>
      <c r="AM6" t="e">
        <f>IF(A6&gt;0.05,EXP(AF6+NORMSINV(1-0.05/A6)*AG6),0)</f>
        <v>#DIV/0!</v>
      </c>
      <c r="AN6">
        <f>cond!EI6</f>
        <v>0</v>
      </c>
      <c r="AO6">
        <f>cond!B6</f>
        <v>50620261</v>
      </c>
      <c r="AP6" t="str">
        <f>cond!C6</f>
        <v>Gas</v>
      </c>
      <c r="AQ6">
        <f>A6*cond!EL6</f>
        <v>1922.0999548287875</v>
      </c>
      <c r="AR6">
        <f>SQRT(A6*cond!EM6^2+A6*(1-A6)*cond!EL6^2)</f>
        <v>627.5687803322433</v>
      </c>
      <c r="AS6">
        <f>cond!EN6</f>
        <v>7.510525968665748</v>
      </c>
      <c r="AT6">
        <f>cond!EO6</f>
        <v>0.31826914756654573</v>
      </c>
      <c r="AU6">
        <f>IF(A6=1,cond!EP6,0)</f>
        <v>5.800000000000001</v>
      </c>
      <c r="AV6">
        <f>IF(A6&gt;0.95,EXP(AS6+NORMSINV(1-0.95/A6)*AT6),0)</f>
        <v>1082.4906332411126</v>
      </c>
      <c r="AW6">
        <f>IF(A6&gt;0.75,EXP(AS6+NORMSINV(1-0.75/A6)*AT6),0)</f>
        <v>1474.1792759500988</v>
      </c>
      <c r="AX6">
        <f>IF(A6&gt;0.5,EXP(AS6+NORMSINV(1-0.5/A6)*AT6),0)</f>
        <v>1827.1743265660193</v>
      </c>
      <c r="AY6">
        <f>IF(A6&gt;0.25,EXP(AS6+NORMSINV(1-0.25/A6)*AT6),0)</f>
        <v>2264.694718022204</v>
      </c>
      <c r="AZ6">
        <f>IF(A6&gt;0.05,EXP(AS6+NORMSINV(1-0.05/A6)*AT6),0)</f>
        <v>3084.1523401139316</v>
      </c>
      <c r="BA6">
        <f>cond!EV6</f>
        <v>151224.2</v>
      </c>
      <c r="BB6" t="str">
        <f>cond!AA6</f>
        <v>Oklahoma</v>
      </c>
      <c r="BC6" t="str">
        <f>cond!C6</f>
        <v>Gas</v>
      </c>
      <c r="BD6">
        <f>A6*cond!EY6</f>
        <v>9076.583120024829</v>
      </c>
      <c r="BE6">
        <f>SQRT(A6*cond!EZ6^2+A6*(1-A6)*cond!EY6^2)</f>
        <v>2921.132639730124</v>
      </c>
      <c r="BF6">
        <f>cond!FA6</f>
        <v>9.06417533113046</v>
      </c>
      <c r="BG6">
        <f>cond!FB6</f>
        <v>0.31393553884773107</v>
      </c>
      <c r="BH6">
        <f>IF(A6=1,cond!FC6,0)</f>
        <v>29.580000000000005</v>
      </c>
      <c r="BI6">
        <f>IF(A6&gt;0.95,EXP(BF6+NORMSINV(1-0.95/A6)*BG6),0)</f>
        <v>5155.386252724933</v>
      </c>
      <c r="BJ6">
        <f>IF(A6&gt;0.75,EXP(BF6+NORMSINV(1-0.75/A6)*BG6),0)</f>
        <v>6991.350547619201</v>
      </c>
      <c r="BK6">
        <f>IF(A6&gt;0.5,EXP(BF6+NORMSINV(1-0.5/A6)*BG6),0)</f>
        <v>8640.150936349957</v>
      </c>
      <c r="BL6">
        <f>IF(A6&gt;0.25,EXP(BF6+NORMSINV(1-0.25/A6)*BG6),0)</f>
        <v>10677.795040377534</v>
      </c>
      <c r="BM6">
        <f>IF(A6&gt;0.05,EXP(BF6+NORMSINV(1-0.05/A6)*BG6),0)</f>
        <v>14480.42969883214</v>
      </c>
      <c r="BN6">
        <f>cond!FI6</f>
        <v>621970.5</v>
      </c>
      <c r="BO6" t="str">
        <f>cond!AA6</f>
        <v>Oklahoma</v>
      </c>
      <c r="BP6" t="str">
        <f>cond!C6</f>
        <v>Gas</v>
      </c>
      <c r="BQ6">
        <f>A6*cond!FL6</f>
        <v>121.02110826699774</v>
      </c>
      <c r="BR6">
        <f>SQRT(A6*cond!FM6^2+A6*(1-A6)*cond!FL6^2)</f>
        <v>97.97206351536462</v>
      </c>
      <c r="BS6">
        <f>cond!FN6</f>
        <v>4.5439546635400685</v>
      </c>
      <c r="BT6">
        <f>cond!FO6</f>
        <v>0.7099441038981729</v>
      </c>
      <c r="BU6">
        <f>IF(A6=1,cond!FP6,0)</f>
        <v>0</v>
      </c>
      <c r="BV6">
        <f>IF(A6&gt;0.95,EXP(BS6+NORMSINV(1-0.95/A6)*BT6),0)</f>
        <v>29.259389458969338</v>
      </c>
      <c r="BW6">
        <f>IF(A6&gt;0.75,EXP(BS6+NORMSINV(1-0.75/A6)*BT6),0)</f>
        <v>58.271005812606276</v>
      </c>
      <c r="BX6">
        <f>IF(A6&gt;0.5,EXP(BS6+NORMSINV(1-0.5/A6)*BT6),0)</f>
        <v>94.06204930972315</v>
      </c>
      <c r="BY6">
        <f>IF(A6&gt;0.25,EXP(BS6+NORMSINV(1-0.25/A6)*BT6),0)</f>
        <v>151.83656085837967</v>
      </c>
      <c r="BZ6">
        <f>IF(A6&gt;0.05,EXP(BS6+NORMSINV(1-0.05/A6)*BT6),0)</f>
        <v>302.3873458724059</v>
      </c>
      <c r="CA6">
        <f>cond!FV6</f>
        <v>24878.82</v>
      </c>
      <c r="CB6" t="str">
        <f>cond!AA6</f>
        <v>Oklahoma</v>
      </c>
      <c r="CC6" t="str">
        <f>cond!C6</f>
        <v>Gas</v>
      </c>
      <c r="CD6">
        <f>A6*cond!FY6</f>
        <v>0</v>
      </c>
      <c r="CE6">
        <f>SQRT(A6*cond!FZ6^2+A6*(1-A6)*cond!FY6^2)</f>
        <v>0</v>
      </c>
      <c r="CF6" t="e">
        <f>cond!GA6</f>
        <v>#DIV/0!</v>
      </c>
      <c r="CG6" t="e">
        <f>cond!GB6</f>
        <v>#DIV/0!</v>
      </c>
      <c r="CH6">
        <f>IF(A6=1,cond!GC6,0)</f>
        <v>0</v>
      </c>
      <c r="CI6" t="e">
        <f>IF(A6&gt;0.95,EXP(CF6+NORMSINV(1-0.95/A6)*CG6),0)</f>
        <v>#DIV/0!</v>
      </c>
      <c r="CJ6" t="e">
        <f>IF(A6&gt;0.75,EXP(CF6+NORMSINV(1-0.75/A6)*CG6),0)</f>
        <v>#DIV/0!</v>
      </c>
      <c r="CK6" t="e">
        <f>IF(A6&gt;0.5,EXP(CF6+NORMSINV(1-0.5/A6)*CG6),0)</f>
        <v>#DIV/0!</v>
      </c>
      <c r="CL6" t="e">
        <f>IF(A6&gt;0.25,EXP(CF6+NORMSINV(1-0.25/A6)*CG6),0)</f>
        <v>#DIV/0!</v>
      </c>
      <c r="CM6" t="e">
        <f>IF(A6&gt;0.05,EXP(CF6+NORMSINV(1-0.05/A6)*CG6),0)</f>
        <v>#DIV/0!</v>
      </c>
      <c r="CN6">
        <f>cond!GI6</f>
        <v>0</v>
      </c>
      <c r="CO6" t="str">
        <f>cond!AA6</f>
        <v>Oklahoma</v>
      </c>
      <c r="CP6" t="str">
        <f>cond!C6</f>
        <v>Gas</v>
      </c>
      <c r="CQ6">
        <f>A6*cond!GL6</f>
        <v>1633.7849616044693</v>
      </c>
      <c r="CR6">
        <f>SQRT(A6*cond!GM6^2+A6*(1-A6)*cond!GL6^2)</f>
        <v>533.4334632824067</v>
      </c>
      <c r="CS6">
        <f>cond!GN6</f>
        <v>7.348007039167974</v>
      </c>
      <c r="CT6">
        <f>cond!GO6</f>
        <v>0.31826914756654573</v>
      </c>
      <c r="CU6">
        <f>IF(A6=1,cond!GP6,0)</f>
        <v>4.930000000000001</v>
      </c>
      <c r="CV6">
        <f>IF(A6&gt;0.95,EXP(CS6+NORMSINV(1-0.95/A6)*CT6),0)</f>
        <v>920.1170382549462</v>
      </c>
      <c r="CW6">
        <f>IF(A6&gt;0.75,EXP(CS6+NORMSINV(1-0.75/A6)*CT6),0)</f>
        <v>1253.052384557585</v>
      </c>
      <c r="CX6">
        <f>IF(A6&gt;0.5,EXP(CS6+NORMSINV(1-0.5/A6)*CT6),0)</f>
        <v>1553.0981775811174</v>
      </c>
      <c r="CY6">
        <f>IF(A6&gt;0.25,EXP(CS6+NORMSINV(1-0.25/A6)*CT6),0)</f>
        <v>1924.9905103188746</v>
      </c>
      <c r="CZ6">
        <f>IF(A6&gt;0.05,EXP(CS6+NORMSINV(1-0.05/A6)*CT6),0)</f>
        <v>2621.529489096841</v>
      </c>
      <c r="DA6">
        <f>cond!GV6</f>
        <v>128540.57000000002</v>
      </c>
      <c r="DB6" t="str">
        <f>cond!AA6</f>
        <v>Oklahoma</v>
      </c>
      <c r="DC6" t="str">
        <f>cond!C6</f>
        <v>Gas</v>
      </c>
      <c r="DD6">
        <f>A6*cond!GY6</f>
        <v>0</v>
      </c>
      <c r="DE6">
        <f>SQRT(A6*cond!GZ6^2+A6*(1-A6)*cond!GY6^2)</f>
        <v>0</v>
      </c>
      <c r="DF6" t="e">
        <f>cond!HA6</f>
        <v>#DIV/0!</v>
      </c>
      <c r="DG6" t="e">
        <f>cond!HB6</f>
        <v>#DIV/0!</v>
      </c>
      <c r="DH6">
        <f>IF(A6=1,cond!HC6,0)</f>
        <v>0</v>
      </c>
      <c r="DI6" t="e">
        <f>IF(A6&gt;0.95,EXP(DF6+NORMSINV(1-0.95/A6)*DG6),0)</f>
        <v>#DIV/0!</v>
      </c>
      <c r="DJ6" t="e">
        <f>IF(A6&gt;0.75,EXP(DF6+NORMSINV(1-0.75/A6)*DG6),0)</f>
        <v>#DIV/0!</v>
      </c>
      <c r="DK6" t="e">
        <f>IF(A6&gt;0.5,EXP(DF6+NORMSINV(1-0.5/A6)*DG6),0)</f>
        <v>#DIV/0!</v>
      </c>
      <c r="DL6" t="e">
        <f>IF(A6&gt;0.25,EXP(DF6+NORMSINV(1-0.25/A6)*DG6),0)</f>
        <v>#DIV/0!</v>
      </c>
      <c r="DM6" t="e">
        <f>IF(A6&gt;0.05,EXP(DF6+NORMSINV(1-0.05/A6)*DG6),0)</f>
        <v>#DIV/0!</v>
      </c>
      <c r="DN6">
        <f>cond!HI6</f>
        <v>0</v>
      </c>
      <c r="DO6" t="str">
        <f>cond!AA6</f>
        <v>Oklahoma</v>
      </c>
      <c r="DP6" t="str">
        <f>cond!C6</f>
        <v>Gas</v>
      </c>
      <c r="DQ6">
        <f>A6*cond!HL6</f>
        <v>0</v>
      </c>
      <c r="DR6">
        <f>SQRT(A6*cond!HM6^2+A6*(1-A6)*cond!HL6^2)</f>
        <v>0</v>
      </c>
      <c r="DS6" t="e">
        <f>cond!HN6</f>
        <v>#DIV/0!</v>
      </c>
      <c r="DT6" t="e">
        <f>cond!HO6</f>
        <v>#DIV/0!</v>
      </c>
      <c r="DU6">
        <f>IF(A6=1,cond!HP6,0)</f>
        <v>0</v>
      </c>
      <c r="DV6" t="e">
        <f>IF(A6&gt;0.95,EXP(DS6+NORMSINV(1-0.95/A6)*DT6),0)</f>
        <v>#DIV/0!</v>
      </c>
      <c r="DW6" t="e">
        <f>IF(A6&gt;0.75,EXP(DS6+NORMSINV(1-0.75/A6)*DT6),0)</f>
        <v>#DIV/0!</v>
      </c>
      <c r="DX6" t="e">
        <f>IF(A6&gt;0.5,EXP(DS6+NORMSINV(1-0.5/A6)*DT6),0)</f>
        <v>#DIV/0!</v>
      </c>
      <c r="DY6" t="e">
        <f>IF(A6&gt;0.25,EXP(DS6+NORMSINV(1-0.25/A6)*DT6),0)</f>
        <v>#DIV/0!</v>
      </c>
      <c r="DZ6" t="e">
        <f>IF(A6&gt;0.05,EXP(DS6+NORMSINV(1-0.05/A6)*DT6),0)</f>
        <v>#DIV/0!</v>
      </c>
      <c r="EA6">
        <f>cond!HV6</f>
        <v>0</v>
      </c>
      <c r="EB6" t="str">
        <f>cond!AA6</f>
        <v>Oklahoma</v>
      </c>
      <c r="EC6" t="str">
        <f>cond!C6</f>
        <v>Gas</v>
      </c>
      <c r="ED6">
        <f>A6*cond!HY6</f>
        <v>0</v>
      </c>
      <c r="EE6">
        <f>SQRT(A6*cond!HZ6^2+A6*(1-A6)*cond!HY6^2)</f>
        <v>0</v>
      </c>
      <c r="EF6" t="e">
        <f>cond!IA6</f>
        <v>#DIV/0!</v>
      </c>
      <c r="EG6" t="e">
        <f>cond!IB6</f>
        <v>#DIV/0!</v>
      </c>
      <c r="EH6">
        <f>IF(A6=1,cond!IC6,0)</f>
        <v>0</v>
      </c>
      <c r="EI6" t="e">
        <f>IF(A6&gt;0.95,EXP(EF6+NORMSINV(1-0.95/A6)*EG6),0)</f>
        <v>#DIV/0!</v>
      </c>
      <c r="EJ6" t="e">
        <f>IF(A6&gt;0.75,EXP(EF6+NORMSINV(1-0.75/A6)*EG6),0)</f>
        <v>#DIV/0!</v>
      </c>
      <c r="EK6" t="e">
        <f>IF(A6&gt;0.5,EXP(EF6+NORMSINV(1-0.5/A6)*EG6),0)</f>
        <v>#DIV/0!</v>
      </c>
      <c r="EL6" t="e">
        <f>IF(A6&gt;0.25,EXP(EF6+NORMSINV(1-0.25/A6)*EG6),0)</f>
        <v>#DIV/0!</v>
      </c>
      <c r="EM6" t="e">
        <f>IF(A6&gt;0.05,EXP(EF6+NORMSINV(1-0.05/A6)*EG6),0)</f>
        <v>#DIV/0!</v>
      </c>
      <c r="EN6">
        <f>cond!II6</f>
        <v>0</v>
      </c>
      <c r="EO6" t="str">
        <f>cond!AA6</f>
        <v>Oklahoma</v>
      </c>
      <c r="EP6" t="str">
        <f>cond!C6</f>
        <v>Gas</v>
      </c>
      <c r="EQ6">
        <f>A6*cond!IL6</f>
        <v>0</v>
      </c>
      <c r="ER6">
        <f>SQRT(A6*cond!IM6^2+A6*(1-A6)*cond!IL6^2)</f>
        <v>0</v>
      </c>
      <c r="ES6" t="e">
        <f>cond!IN6</f>
        <v>#DIV/0!</v>
      </c>
      <c r="ET6" t="e">
        <f>cond!IO6</f>
        <v>#DIV/0!</v>
      </c>
      <c r="EU6">
        <f>IF(A6=1,cond!IP6,0)</f>
        <v>0</v>
      </c>
      <c r="EV6" t="e">
        <f>IF(A6&gt;0.95,EXP(ES6+NORMSINV(1-0.95/A6)*ET6),0)</f>
        <v>#DIV/0!</v>
      </c>
      <c r="EW6" t="e">
        <f>IF(A6&gt;0.75,EXP(ES6+NORMSINV(1-0.75/A6)*ET6),0)</f>
        <v>#DIV/0!</v>
      </c>
      <c r="EX6" t="e">
        <f>IF(A6&gt;0.5,EXP(ES6+NORMSINV(1-0.5/A6)*ET6),0)</f>
        <v>#DIV/0!</v>
      </c>
      <c r="EY6" t="e">
        <f>IF(A6&gt;0.25,EXP(ES6+NORMSINV(1-0.25/A6)*ET6),0)</f>
        <v>#DIV/0!</v>
      </c>
      <c r="EZ6" t="e">
        <f>IF(A6&gt;0.05,EXP(ES6+NORMSINV(1-0.05/A6)*ET6),0)</f>
        <v>#DIV/0!</v>
      </c>
      <c r="FA6">
        <f>cond!IV6</f>
        <v>0</v>
      </c>
    </row>
  </sheetData>
  <sheetProtection/>
  <printOptions gridLines="1" horizontalCentered="1"/>
  <pageMargins left="0.75" right="0.75" top="1" bottom="1" header="0.5" footer="0.5"/>
  <pageSetup horizontalDpi="600" verticalDpi="600" orientation="portrait" scale="90" r:id="rId1"/>
  <headerFooter alignWithMargins="0">
    <oddHeader>&amp;CACCESS</oddHeader>
  </headerFooter>
  <colBreaks count="11" manualBreakCount="11">
    <brk id="14" max="65535" man="1"/>
    <brk id="27" max="65535" man="1"/>
    <brk id="40" max="65535" man="1"/>
    <brk id="53" max="65535" man="1"/>
    <brk id="66" max="65535" man="1"/>
    <brk id="79" max="65535" man="1"/>
    <brk id="92" max="65535" man="1"/>
    <brk id="105" max="65535" man="1"/>
    <brk id="118" max="65535" man="1"/>
    <brk id="131" max="65535" man="1"/>
    <brk id="14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K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3.8515625" style="0" customWidth="1"/>
    <col min="3" max="4" width="9.00390625" style="0" bestFit="1" customWidth="1"/>
    <col min="5" max="5" width="9.140625" style="0" bestFit="1" customWidth="1"/>
    <col min="6" max="7" width="5.28125" style="0" customWidth="1"/>
    <col min="8" max="8" width="5.57421875" style="0" customWidth="1"/>
    <col min="9" max="10" width="5.140625" style="0" customWidth="1"/>
    <col min="11" max="11" width="5.00390625" style="0" customWidth="1"/>
    <col min="12" max="12" width="5.7109375" style="0" customWidth="1"/>
    <col min="13" max="13" width="6.28125" style="0" customWidth="1"/>
    <col min="14" max="14" width="6.00390625" style="0" customWidth="1"/>
    <col min="15" max="15" width="9.00390625" style="0" bestFit="1" customWidth="1"/>
    <col min="16" max="16" width="4.140625" style="0" customWidth="1"/>
    <col min="24" max="24" width="9.00390625" style="0" bestFit="1" customWidth="1"/>
    <col min="25" max="25" width="4.140625" style="0" customWidth="1"/>
    <col min="33" max="33" width="9.00390625" style="0" customWidth="1"/>
    <col min="34" max="34" width="4.140625" style="0" customWidth="1"/>
    <col min="42" max="42" width="9.00390625" style="0" bestFit="1" customWidth="1"/>
    <col min="43" max="43" width="4.28125" style="0" customWidth="1"/>
    <col min="51" max="51" width="9.00390625" style="0" customWidth="1"/>
    <col min="52" max="52" width="4.140625" style="0" customWidth="1"/>
    <col min="55" max="56" width="0" style="0" hidden="1" customWidth="1"/>
    <col min="64" max="64" width="9.00390625" style="0" bestFit="1" customWidth="1"/>
    <col min="65" max="65" width="4.140625" style="0" customWidth="1"/>
    <col min="68" max="69" width="0" style="0" hidden="1" customWidth="1"/>
    <col min="77" max="77" width="9.00390625" style="0" bestFit="1" customWidth="1"/>
    <col min="78" max="78" width="4.140625" style="0" customWidth="1"/>
    <col min="81" max="82" width="0" style="0" hidden="1" customWidth="1"/>
  </cols>
  <sheetData>
    <row r="1" spans="14:89" ht="12.75">
      <c r="N1" s="2" t="s">
        <v>98</v>
      </c>
      <c r="W1" s="2" t="s">
        <v>101</v>
      </c>
      <c r="AF1" s="2" t="s">
        <v>102</v>
      </c>
      <c r="AO1" s="2" t="s">
        <v>103</v>
      </c>
      <c r="AX1" s="2" t="s">
        <v>104</v>
      </c>
      <c r="BK1" s="2" t="s">
        <v>105</v>
      </c>
      <c r="BX1" s="2" t="s">
        <v>126</v>
      </c>
      <c r="CK1" s="2" t="s">
        <v>127</v>
      </c>
    </row>
    <row r="2" spans="6:9" ht="12.75">
      <c r="F2" s="7" t="s">
        <v>123</v>
      </c>
      <c r="G2" s="7"/>
      <c r="H2" s="7"/>
      <c r="I2" t="s">
        <v>124</v>
      </c>
    </row>
    <row r="3" spans="3:89" ht="12.75">
      <c r="C3" s="7" t="s">
        <v>99</v>
      </c>
      <c r="D3" s="7"/>
      <c r="E3" s="7"/>
      <c r="F3" s="7" t="s">
        <v>122</v>
      </c>
      <c r="G3" s="7"/>
      <c r="H3" s="7"/>
      <c r="I3" s="6" t="s">
        <v>125</v>
      </c>
      <c r="J3" s="6"/>
      <c r="K3" s="6"/>
      <c r="L3" t="s">
        <v>100</v>
      </c>
      <c r="Q3" s="7" t="s">
        <v>136</v>
      </c>
      <c r="R3" s="7"/>
      <c r="S3" s="7"/>
      <c r="T3" s="7"/>
      <c r="U3" s="7"/>
      <c r="V3" s="7"/>
      <c r="W3" s="7"/>
      <c r="Z3" s="7" t="s">
        <v>137</v>
      </c>
      <c r="AA3" s="7"/>
      <c r="AB3" s="7"/>
      <c r="AC3" s="7"/>
      <c r="AD3" s="7"/>
      <c r="AE3" s="7"/>
      <c r="AF3" s="7"/>
      <c r="AI3" s="7" t="s">
        <v>138</v>
      </c>
      <c r="AJ3" s="7"/>
      <c r="AK3" s="7"/>
      <c r="AL3" s="7"/>
      <c r="AM3" s="7"/>
      <c r="AN3" s="7"/>
      <c r="AO3" s="7"/>
      <c r="AR3" s="7" t="s">
        <v>139</v>
      </c>
      <c r="AS3" s="7"/>
      <c r="AT3" s="7"/>
      <c r="AU3" s="7"/>
      <c r="AV3" s="7"/>
      <c r="AW3" s="7"/>
      <c r="AX3" s="7"/>
      <c r="BA3" s="6" t="s">
        <v>128</v>
      </c>
      <c r="BB3" s="6"/>
      <c r="BC3" s="6"/>
      <c r="BD3" s="6"/>
      <c r="BE3" s="6"/>
      <c r="BF3" s="6"/>
      <c r="BG3" s="6"/>
      <c r="BH3" s="6"/>
      <c r="BI3" s="6"/>
      <c r="BJ3" s="6"/>
      <c r="BK3" s="6"/>
      <c r="BN3" s="6" t="s">
        <v>119</v>
      </c>
      <c r="BO3" s="6"/>
      <c r="BP3" s="6"/>
      <c r="BQ3" s="6"/>
      <c r="BR3" s="6"/>
      <c r="BS3" s="6"/>
      <c r="BT3" s="6"/>
      <c r="BU3" s="6"/>
      <c r="BV3" s="6"/>
      <c r="BW3" s="6"/>
      <c r="BX3" s="6"/>
      <c r="CA3" s="6" t="s">
        <v>118</v>
      </c>
      <c r="CB3" s="6"/>
      <c r="CC3" s="6"/>
      <c r="CD3" s="6"/>
      <c r="CE3" s="6"/>
      <c r="CF3" s="6"/>
      <c r="CG3" s="6"/>
      <c r="CH3" s="6"/>
      <c r="CI3" s="6"/>
      <c r="CJ3" s="6"/>
      <c r="CK3" s="6"/>
    </row>
    <row r="4" spans="1:89" s="3" customFormat="1" ht="12.75">
      <c r="A4" s="3" t="s">
        <v>31</v>
      </c>
      <c r="B4" s="3" t="s">
        <v>36</v>
      </c>
      <c r="C4" s="3" t="s">
        <v>33</v>
      </c>
      <c r="D4" s="3" t="s">
        <v>95</v>
      </c>
      <c r="E4" s="3" t="s">
        <v>34</v>
      </c>
      <c r="F4" s="3" t="s">
        <v>120</v>
      </c>
      <c r="G4" s="3" t="s">
        <v>135</v>
      </c>
      <c r="H4" s="3" t="s">
        <v>121</v>
      </c>
      <c r="I4" s="3" t="s">
        <v>120</v>
      </c>
      <c r="J4" s="3" t="s">
        <v>135</v>
      </c>
      <c r="K4" s="3" t="s">
        <v>121</v>
      </c>
      <c r="L4" s="3" t="s">
        <v>120</v>
      </c>
      <c r="M4" s="3" t="s">
        <v>135</v>
      </c>
      <c r="N4" s="3" t="s">
        <v>121</v>
      </c>
      <c r="O4" s="3" t="s">
        <v>31</v>
      </c>
      <c r="P4" s="3" t="s">
        <v>36</v>
      </c>
      <c r="Q4" s="3" t="s">
        <v>37</v>
      </c>
      <c r="R4" s="3" t="s">
        <v>40</v>
      </c>
      <c r="S4" s="3" t="s">
        <v>43</v>
      </c>
      <c r="T4" s="3" t="s">
        <v>94</v>
      </c>
      <c r="U4" s="3" t="s">
        <v>95</v>
      </c>
      <c r="V4" s="3" t="s">
        <v>44</v>
      </c>
      <c r="W4" s="3" t="s">
        <v>45</v>
      </c>
      <c r="X4" s="3" t="s">
        <v>31</v>
      </c>
      <c r="Y4" s="3" t="s">
        <v>36</v>
      </c>
      <c r="Z4" s="3" t="s">
        <v>37</v>
      </c>
      <c r="AA4" s="3" t="s">
        <v>40</v>
      </c>
      <c r="AB4" s="3" t="s">
        <v>43</v>
      </c>
      <c r="AC4" s="3" t="s">
        <v>94</v>
      </c>
      <c r="AD4" s="3" t="s">
        <v>95</v>
      </c>
      <c r="AE4" s="3" t="s">
        <v>44</v>
      </c>
      <c r="AF4" s="3" t="s">
        <v>45</v>
      </c>
      <c r="AG4" s="3" t="s">
        <v>31</v>
      </c>
      <c r="AH4" s="3" t="s">
        <v>36</v>
      </c>
      <c r="AI4" s="3" t="s">
        <v>37</v>
      </c>
      <c r="AJ4" s="3" t="s">
        <v>40</v>
      </c>
      <c r="AK4" s="3" t="s">
        <v>43</v>
      </c>
      <c r="AL4" s="3" t="s">
        <v>94</v>
      </c>
      <c r="AM4" s="3" t="s">
        <v>95</v>
      </c>
      <c r="AN4" s="3" t="s">
        <v>44</v>
      </c>
      <c r="AO4" s="3" t="s">
        <v>45</v>
      </c>
      <c r="AP4" s="3" t="s">
        <v>31</v>
      </c>
      <c r="AQ4" s="3" t="s">
        <v>36</v>
      </c>
      <c r="AR4" s="3" t="s">
        <v>37</v>
      </c>
      <c r="AS4" s="3" t="s">
        <v>40</v>
      </c>
      <c r="AT4" s="3" t="s">
        <v>43</v>
      </c>
      <c r="AU4" s="3" t="s">
        <v>94</v>
      </c>
      <c r="AV4" s="3" t="s">
        <v>95</v>
      </c>
      <c r="AW4" s="3" t="s">
        <v>44</v>
      </c>
      <c r="AX4" s="3" t="s">
        <v>45</v>
      </c>
      <c r="AY4" s="3" t="s">
        <v>31</v>
      </c>
      <c r="AZ4" s="3" t="s">
        <v>36</v>
      </c>
      <c r="BA4" s="3" t="s">
        <v>44</v>
      </c>
      <c r="BB4" s="3" t="s">
        <v>45</v>
      </c>
      <c r="BC4" s="3" t="s">
        <v>46</v>
      </c>
      <c r="BD4" s="3" t="s">
        <v>47</v>
      </c>
      <c r="BE4" s="3" t="s">
        <v>37</v>
      </c>
      <c r="BF4" s="3" t="s">
        <v>38</v>
      </c>
      <c r="BG4" s="3" t="s">
        <v>39</v>
      </c>
      <c r="BH4" s="3" t="s">
        <v>40</v>
      </c>
      <c r="BI4" s="3" t="s">
        <v>41</v>
      </c>
      <c r="BJ4" s="3" t="s">
        <v>42</v>
      </c>
      <c r="BK4" s="3" t="s">
        <v>43</v>
      </c>
      <c r="BL4" s="3" t="s">
        <v>31</v>
      </c>
      <c r="BM4" s="3" t="s">
        <v>36</v>
      </c>
      <c r="BN4" s="3" t="s">
        <v>44</v>
      </c>
      <c r="BO4" s="3" t="s">
        <v>45</v>
      </c>
      <c r="BP4" s="3" t="s">
        <v>46</v>
      </c>
      <c r="BQ4" s="3" t="s">
        <v>47</v>
      </c>
      <c r="BR4" s="3" t="s">
        <v>37</v>
      </c>
      <c r="BS4" s="3" t="s">
        <v>38</v>
      </c>
      <c r="BT4" s="3" t="s">
        <v>39</v>
      </c>
      <c r="BU4" s="3" t="s">
        <v>40</v>
      </c>
      <c r="BV4" s="3" t="s">
        <v>41</v>
      </c>
      <c r="BW4" s="3" t="s">
        <v>42</v>
      </c>
      <c r="BX4" s="3" t="s">
        <v>43</v>
      </c>
      <c r="BY4" s="3" t="s">
        <v>31</v>
      </c>
      <c r="BZ4" s="3" t="s">
        <v>36</v>
      </c>
      <c r="CA4" s="3" t="s">
        <v>44</v>
      </c>
      <c r="CB4" s="3" t="s">
        <v>45</v>
      </c>
      <c r="CC4" s="3" t="s">
        <v>46</v>
      </c>
      <c r="CD4" s="3" t="s">
        <v>47</v>
      </c>
      <c r="CE4" s="3" t="s">
        <v>37</v>
      </c>
      <c r="CF4" s="3" t="s">
        <v>38</v>
      </c>
      <c r="CG4" s="3" t="s">
        <v>39</v>
      </c>
      <c r="CH4" s="3" t="s">
        <v>40</v>
      </c>
      <c r="CI4" s="3" t="s">
        <v>41</v>
      </c>
      <c r="CJ4" s="3" t="s">
        <v>42</v>
      </c>
      <c r="CK4" s="3" t="s">
        <v>43</v>
      </c>
    </row>
    <row r="5" spans="1:89" ht="12.75">
      <c r="A5">
        <f>cond!B5</f>
        <v>50490170</v>
      </c>
      <c r="B5" t="str">
        <f>cond!C5</f>
        <v>Oil</v>
      </c>
      <c r="C5">
        <v>14827000</v>
      </c>
      <c r="D5">
        <v>16474000</v>
      </c>
      <c r="E5">
        <v>18121000</v>
      </c>
      <c r="F5">
        <v>100</v>
      </c>
      <c r="G5">
        <v>100</v>
      </c>
      <c r="H5">
        <v>100</v>
      </c>
      <c r="I5">
        <v>0.5</v>
      </c>
      <c r="J5">
        <v>9</v>
      </c>
      <c r="K5">
        <v>40</v>
      </c>
      <c r="L5">
        <v>80</v>
      </c>
      <c r="M5">
        <v>128</v>
      </c>
      <c r="N5">
        <v>320</v>
      </c>
      <c r="O5">
        <f>cond!B5</f>
        <v>50490170</v>
      </c>
      <c r="P5" t="str">
        <f>cond!C5</f>
        <v>Oil</v>
      </c>
      <c r="Q5">
        <f aca="true" t="shared" si="0" ref="Q5:S6">C5</f>
        <v>14827000</v>
      </c>
      <c r="R5">
        <f>IF(U5=(Q5+S5)/2,U5,IF(U5&lt;(Q5+S5)/2,S5-SQRT(0.5*(S5-Q5)*(S5-U5)),Q5+SQRT(0.5*(S5-Q5)*(U5-Q5))))</f>
        <v>16474000</v>
      </c>
      <c r="S5">
        <f t="shared" si="0"/>
        <v>18121000</v>
      </c>
      <c r="T5">
        <f>(Q5+S5)/2</f>
        <v>16474000</v>
      </c>
      <c r="U5">
        <f>D5</f>
        <v>16474000</v>
      </c>
      <c r="V5">
        <f>(Q5+S5+U5)/3</f>
        <v>16474000</v>
      </c>
      <c r="W5">
        <f>SQRT((Q5^2+S5^2+U5^2-Q5*S5-Q5*U5-S5*U5)/18)</f>
        <v>672384.9343939824</v>
      </c>
      <c r="X5">
        <f>cond!B5</f>
        <v>50490170</v>
      </c>
      <c r="Y5" t="str">
        <f>cond!C5</f>
        <v>Oil</v>
      </c>
      <c r="Z5">
        <f aca="true" t="shared" si="1" ref="Z5:AB6">F5</f>
        <v>100</v>
      </c>
      <c r="AA5">
        <f>IF(AD5=(Z5+AB5)/2,AD5,IF(AD5&lt;(Z5+AB5)/2,AB5-SQRT(0.5*(AB5-Z5)*(AB5-AD5)),Z5+SQRT(0.5*(AB5-Z5)*(AD5-Z5))))</f>
        <v>100</v>
      </c>
      <c r="AB5">
        <f t="shared" si="1"/>
        <v>100</v>
      </c>
      <c r="AC5">
        <f>(Z5+AB5)/2</f>
        <v>100</v>
      </c>
      <c r="AD5">
        <f>G5</f>
        <v>100</v>
      </c>
      <c r="AE5">
        <f>(Z5+AB5+AD5)/3</f>
        <v>100</v>
      </c>
      <c r="AF5">
        <f>SQRT((Z5^2+AB5^2+AD5^2-Z5*AB5-Z5*AD5-AB5*AD5)/18)</f>
        <v>0</v>
      </c>
      <c r="AG5">
        <f>cond!B5</f>
        <v>50490170</v>
      </c>
      <c r="AH5" t="str">
        <f>cond!C5</f>
        <v>Oil</v>
      </c>
      <c r="AI5">
        <f aca="true" t="shared" si="2" ref="AI5:AK6">I5</f>
        <v>0.5</v>
      </c>
      <c r="AJ5">
        <f>IF(AM5=(AI5+AK5)/2,AM5,IF(AM5&lt;(AI5+AK5)/2,AK5-SQRT(0.5*(AK5-AI5)*(AK5-AM5)),AI5+SQRT(0.5*(AK5-AI5)*(AM5-AI5))))</f>
        <v>15.256313936682755</v>
      </c>
      <c r="AK5">
        <f t="shared" si="2"/>
        <v>40</v>
      </c>
      <c r="AL5">
        <f>(AI5+AK5)/2</f>
        <v>20.25</v>
      </c>
      <c r="AM5">
        <f>J5</f>
        <v>9</v>
      </c>
      <c r="AN5">
        <f>(AI5+AK5+AM5)/3</f>
        <v>16.5</v>
      </c>
      <c r="AO5">
        <f>SQRT((AI5^2+AK5^2+AM5^2-AI5*AK5-AI5*AM5-AK5*AM5)/18)</f>
        <v>8.48773625100749</v>
      </c>
      <c r="AP5">
        <f>cond!B5</f>
        <v>50490170</v>
      </c>
      <c r="AQ5" t="str">
        <f>cond!C5</f>
        <v>Oil</v>
      </c>
      <c r="AR5">
        <f aca="true" t="shared" si="3" ref="AR5:AT6">L5</f>
        <v>80</v>
      </c>
      <c r="AS5">
        <f>IF(AV5=(AR5+AT5)/2,AV5,IF(AV5&lt;(AR5+AT5)/2,AT5-SQRT(0.5*(AT5-AR5)*(AT5-AV5)),AR5+SQRT(0.5*(AT5-AR5)*(AV5-AR5))))</f>
        <v>168.2106723119178</v>
      </c>
      <c r="AT5">
        <f t="shared" si="3"/>
        <v>320</v>
      </c>
      <c r="AU5">
        <f>(AR5+AT5)/2</f>
        <v>200</v>
      </c>
      <c r="AV5">
        <f>M5</f>
        <v>128</v>
      </c>
      <c r="AW5">
        <f>(AR5+AT5+AV5)/3</f>
        <v>176</v>
      </c>
      <c r="AX5">
        <f>SQRT((AR5^2+AT5^2+AV5^2-AR5*AT5-AR5*AV5-AT5*AV5)/18)</f>
        <v>51.84592558726288</v>
      </c>
      <c r="AY5">
        <f>cond!B5</f>
        <v>50490170</v>
      </c>
      <c r="AZ5" t="str">
        <f>cond!C5</f>
        <v>Oil</v>
      </c>
      <c r="BA5">
        <f>AE5*AN5/100</f>
        <v>16.5</v>
      </c>
      <c r="BB5">
        <f>(1/100)*SQRT(AF5^2*AN5^2+AO5^2*AE5^2+AF5^2*AO5^2)</f>
        <v>8.48773625100749</v>
      </c>
      <c r="BC5">
        <f>LN(BA5^2/SQRT(BA5^2+BB5^2))</f>
        <v>2.6859761786364507</v>
      </c>
      <c r="BD5">
        <f>SQRT(LN(BB5^2/BA5^2+1))</f>
        <v>0.4845290543818491</v>
      </c>
      <c r="BE5">
        <f>Z5*AI5/100</f>
        <v>0.5</v>
      </c>
      <c r="BF5">
        <f>EXP(BC5+NORMSINV(0.05)*BD5)</f>
        <v>6.612731500989938</v>
      </c>
      <c r="BG5">
        <f>EXP(BC5+NORMSINV(0.25)*BD5)</f>
        <v>10.582125432382547</v>
      </c>
      <c r="BH5">
        <f>EXP(BC5)</f>
        <v>14.67251738965333</v>
      </c>
      <c r="BI5">
        <f>EXP(BC5+NORMSINV(0.75)*BD5)</f>
        <v>20.34400063817887</v>
      </c>
      <c r="BJ5">
        <f>EXP(BC5+NORMSINV(0.95)*BD5)</f>
        <v>32.55580035533743</v>
      </c>
      <c r="BK5">
        <f>AB5*AK5/100</f>
        <v>40</v>
      </c>
      <c r="BL5">
        <f>cond!B5</f>
        <v>50490170</v>
      </c>
      <c r="BM5" t="str">
        <f>cond!C5</f>
        <v>Oil</v>
      </c>
      <c r="BN5">
        <f>V5*BA5/100</f>
        <v>2718210</v>
      </c>
      <c r="BO5">
        <f>(1/100)*SQRT(W5^2*BA5^2+BB5^2*V5^2+W5^2*BB5^2)</f>
        <v>1403824.6143697645</v>
      </c>
      <c r="BP5">
        <f>LN(BN5^2/SQRT(BN5^2+BO5^2))</f>
        <v>14.697267695428012</v>
      </c>
      <c r="BQ5">
        <f>SQRT(LN(BO5^2/BN5^2+1))</f>
        <v>0.48624363846483815</v>
      </c>
      <c r="BR5">
        <f>Q5*BE5/100</f>
        <v>74135</v>
      </c>
      <c r="BS5">
        <f>EXP(BP5+NORMSINV(0.05)*BQ5)</f>
        <v>1085409.7062389778</v>
      </c>
      <c r="BT5">
        <f>EXP(BP5+NORMSINV(0.25)*BQ5)</f>
        <v>1739835.8804912982</v>
      </c>
      <c r="BU5">
        <f>EXP(BP5)</f>
        <v>2415139.712658648</v>
      </c>
      <c r="BV5">
        <f>EXP(BP5+NORMSINV(0.75)*BQ5)</f>
        <v>3352557.5010062386</v>
      </c>
      <c r="BW5">
        <f>EXP(BP5+NORMSINV(0.95)*BQ5)</f>
        <v>5373915.304177903</v>
      </c>
      <c r="BX5">
        <f>S5*BK5/100</f>
        <v>7248400</v>
      </c>
      <c r="BY5">
        <f>cond!B5</f>
        <v>50490170</v>
      </c>
      <c r="BZ5" t="str">
        <f>cond!C5</f>
        <v>Oil</v>
      </c>
      <c r="CA5">
        <f>BN5/AW5</f>
        <v>15444.375</v>
      </c>
      <c r="CB5">
        <f>SQRT((BO5^2-CA5*AX5^2)/AW5^2)</f>
        <v>7976.192205033227</v>
      </c>
      <c r="CC5">
        <f>LN(CA5^2/SQRT(CA5^2+CB5^2))</f>
        <v>9.526785918193362</v>
      </c>
      <c r="CD5">
        <f>SQRT(LN(CB5^2/CA5^2+1))</f>
        <v>0.48623907734829447</v>
      </c>
      <c r="CE5">
        <f>ROUND(BR5/AT5,0)</f>
        <v>232</v>
      </c>
      <c r="CF5">
        <f>ROUND(EXP(CC5+NORMSINV(0.05)*CD5),0)</f>
        <v>6167</v>
      </c>
      <c r="CG5">
        <f>ROUND(EXP(CC5+NORMSINV(0.25)*CD5),0)</f>
        <v>9885</v>
      </c>
      <c r="CH5">
        <f>ROUND(EXP(CC5),0)</f>
        <v>13722</v>
      </c>
      <c r="CI5">
        <f>ROUND(EXP(CC5+NORMSINV(0.75)*CD5),0)</f>
        <v>19049</v>
      </c>
      <c r="CJ5">
        <f>ROUND(EXP(CC5+NORMSINV(0.95)*CD5),0)</f>
        <v>30533</v>
      </c>
      <c r="CK5">
        <f>ROUND(BX5/AR5,0)</f>
        <v>90605</v>
      </c>
    </row>
    <row r="6" spans="1:89" ht="12.75">
      <c r="A6">
        <f>cond!B6</f>
        <v>50620261</v>
      </c>
      <c r="B6" t="str">
        <f>cond!C6</f>
        <v>Gas</v>
      </c>
      <c r="C6">
        <v>5800000</v>
      </c>
      <c r="D6">
        <v>6100000</v>
      </c>
      <c r="E6">
        <v>6400000</v>
      </c>
      <c r="F6">
        <v>96</v>
      </c>
      <c r="G6">
        <v>97</v>
      </c>
      <c r="H6">
        <v>98</v>
      </c>
      <c r="I6">
        <v>10</v>
      </c>
      <c r="J6">
        <v>35</v>
      </c>
      <c r="K6">
        <v>70</v>
      </c>
      <c r="L6">
        <v>60</v>
      </c>
      <c r="M6">
        <v>120</v>
      </c>
      <c r="N6">
        <v>320</v>
      </c>
      <c r="O6">
        <f>cond!B6</f>
        <v>50620261</v>
      </c>
      <c r="P6" t="str">
        <f>cond!C6</f>
        <v>Gas</v>
      </c>
      <c r="Q6">
        <f t="shared" si="0"/>
        <v>5800000</v>
      </c>
      <c r="R6">
        <f>IF(U6=(Q6+S6)/2,U6,IF(U6&lt;(Q6+S6)/2,S6-SQRT(0.5*(S6-Q6)*(S6-U6)),Q6+SQRT(0.5*(S6-Q6)*(U6-Q6))))</f>
        <v>6100000</v>
      </c>
      <c r="S6">
        <f t="shared" si="0"/>
        <v>6400000</v>
      </c>
      <c r="T6">
        <f>(Q6+S6)/2</f>
        <v>6100000</v>
      </c>
      <c r="U6">
        <f>D6</f>
        <v>6100000</v>
      </c>
      <c r="V6">
        <f>(Q6+S6+U6)/3</f>
        <v>6100000</v>
      </c>
      <c r="W6">
        <f>SQRT((Q6^2+S6^2+U6^2-Q6*S6-Q6*U6-S6*U6)/18)</f>
        <v>122474.48713915891</v>
      </c>
      <c r="X6">
        <f>cond!B6</f>
        <v>50620261</v>
      </c>
      <c r="Y6" t="str">
        <f>cond!C6</f>
        <v>Gas</v>
      </c>
      <c r="Z6">
        <f t="shared" si="1"/>
        <v>96</v>
      </c>
      <c r="AA6">
        <f>IF(AD6=(Z6+AB6)/2,AD6,IF(AD6&lt;(Z6+AB6)/2,AB6-SQRT(0.5*(AB6-Z6)*(AB6-AD6)),Z6+SQRT(0.5*(AB6-Z6)*(AD6-Z6))))</f>
        <v>97</v>
      </c>
      <c r="AB6">
        <f t="shared" si="1"/>
        <v>98</v>
      </c>
      <c r="AC6">
        <f>(Z6+AB6)/2</f>
        <v>97</v>
      </c>
      <c r="AD6">
        <f>G6</f>
        <v>97</v>
      </c>
      <c r="AE6">
        <f>(Z6+AB6+AD6)/3</f>
        <v>97</v>
      </c>
      <c r="AF6">
        <f>SQRT((Z6^2+AB6^2+AD6^2-Z6*AB6-Z6*AD6-AB6*AD6)/18)</f>
        <v>0.408248290463863</v>
      </c>
      <c r="AG6">
        <f>cond!B6</f>
        <v>50620261</v>
      </c>
      <c r="AH6" t="str">
        <f>cond!C6</f>
        <v>Gas</v>
      </c>
      <c r="AI6">
        <f t="shared" si="2"/>
        <v>10</v>
      </c>
      <c r="AJ6">
        <f>IF(AM6=(AI6+AK6)/2,AM6,IF(AM6&lt;(AI6+AK6)/2,AK6-SQRT(0.5*(AK6-AI6)*(AK6-AM6)),AI6+SQRT(0.5*(AK6-AI6)*(AM6-AI6))))</f>
        <v>37.5962965079607</v>
      </c>
      <c r="AK6">
        <f t="shared" si="2"/>
        <v>70</v>
      </c>
      <c r="AL6">
        <f>(AI6+AK6)/2</f>
        <v>40</v>
      </c>
      <c r="AM6">
        <f>J6</f>
        <v>35</v>
      </c>
      <c r="AN6">
        <f>(AI6+AK6+AM6)/3</f>
        <v>38.333333333333336</v>
      </c>
      <c r="AO6">
        <f>SQRT((AI6^2+AK6^2+AM6^2-AI6*AK6-AI6*AM6-AK6*AM6)/18)</f>
        <v>12.304019216861168</v>
      </c>
      <c r="AP6">
        <f>cond!B6</f>
        <v>50620261</v>
      </c>
      <c r="AQ6" t="str">
        <f>cond!C6</f>
        <v>Gas</v>
      </c>
      <c r="AR6">
        <f t="shared" si="3"/>
        <v>60</v>
      </c>
      <c r="AS6">
        <f>IF(AV6=(AR6+AT6)/2,AV6,IF(AV6&lt;(AR6+AT6)/2,AT6-SQRT(0.5*(AT6-AR6)*(AT6-AV6)),AR6+SQRT(0.5*(AT6-AR6)*(AV6-AR6))))</f>
        <v>158.75484503402902</v>
      </c>
      <c r="AT6">
        <f t="shared" si="3"/>
        <v>320</v>
      </c>
      <c r="AU6">
        <f>(AR6+AT6)/2</f>
        <v>190</v>
      </c>
      <c r="AV6">
        <f>M6</f>
        <v>120</v>
      </c>
      <c r="AW6">
        <f>(AR6+AT6+AV6)/3</f>
        <v>166.66666666666666</v>
      </c>
      <c r="AX6">
        <f>SQRT((AR6^2+AT6^2+AV6^2-AR6*AT6-AR6*AV6-AT6*AV6)/18)</f>
        <v>55.57777333511022</v>
      </c>
      <c r="AY6">
        <f>cond!B6</f>
        <v>50620261</v>
      </c>
      <c r="AZ6" t="str">
        <f>cond!C6</f>
        <v>Gas</v>
      </c>
      <c r="BA6">
        <f>AE6*AN6/100</f>
        <v>37.18333333333334</v>
      </c>
      <c r="BB6">
        <f>(1/100)*SQRT(AF6^2*AN6^2+AO6^2*AE6^2+AF6^2*AO6^2)</f>
        <v>11.936030305107494</v>
      </c>
      <c r="BC6">
        <f>LN(BA6^2/SQRT(BA6^2+BB6^2))</f>
        <v>3.5668237655863755</v>
      </c>
      <c r="BD6">
        <f>SQRT(LN(BB6^2/BA6^2+1))</f>
        <v>0.3131672608177828</v>
      </c>
      <c r="BE6">
        <f>Z6*AI6/100</f>
        <v>9.6</v>
      </c>
      <c r="BF6">
        <f>EXP(BC6+NORMSINV(0.05)*BD6)</f>
        <v>21.15147114566223</v>
      </c>
      <c r="BG6">
        <f>EXP(BC6+NORMSINV(0.25)*BD6)</f>
        <v>28.662672258811337</v>
      </c>
      <c r="BH6">
        <f>EXP(BC6)</f>
        <v>35.40396309063213</v>
      </c>
      <c r="BI6">
        <f>EXP(BC6+NORMSINV(0.75)*BD6)</f>
        <v>43.73076561755388</v>
      </c>
      <c r="BJ6">
        <f>EXP(BC6+NORMSINV(0.95)*BD6)</f>
        <v>59.2602090838442</v>
      </c>
      <c r="BK6">
        <f>AB6*AK6/100</f>
        <v>68.6</v>
      </c>
      <c r="BL6">
        <f>cond!B6</f>
        <v>50620261</v>
      </c>
      <c r="BM6" t="str">
        <f>cond!C6</f>
        <v>Gas</v>
      </c>
      <c r="BN6">
        <f>V6*BA6/100</f>
        <v>2268183.3333333335</v>
      </c>
      <c r="BO6">
        <f>(1/100)*SQRT(W6^2*BA6^2+BB6^2*V6^2+W6^2*BB6^2)</f>
        <v>729667.1027246681</v>
      </c>
      <c r="BP6">
        <f>LN(BN6^2/SQRT(BN6^2+BO6^2))</f>
        <v>14.585251390636053</v>
      </c>
      <c r="BQ6">
        <f>SQRT(LN(BO6^2/BN6^2+1))</f>
        <v>0.31381008501903634</v>
      </c>
      <c r="BR6">
        <f>Q6*BE6/100</f>
        <v>556800</v>
      </c>
      <c r="BS6">
        <f>EXP(BP6+NORMSINV(0.05)*BQ6)</f>
        <v>1288616.5179371634</v>
      </c>
      <c r="BT6">
        <f>EXP(BP6+NORMSINV(0.25)*BQ6)</f>
        <v>1747312.9430947958</v>
      </c>
      <c r="BU6">
        <f>EXP(BP6)</f>
        <v>2159206.5854623434</v>
      </c>
      <c r="BV6">
        <f>EXP(BP6+NORMSINV(0.75)*BQ6)</f>
        <v>2668195.812964352</v>
      </c>
      <c r="BW6">
        <f>EXP(BP6+NORMSINV(0.95)*BQ6)</f>
        <v>3617967.8079613857</v>
      </c>
      <c r="BX6">
        <f>S6*BK6/100</f>
        <v>4390399.999999999</v>
      </c>
      <c r="BY6">
        <f>cond!B6</f>
        <v>50620261</v>
      </c>
      <c r="BZ6" t="str">
        <f>cond!C6</f>
        <v>Gas</v>
      </c>
      <c r="CA6">
        <f>BN6/AW6</f>
        <v>13609.100000000002</v>
      </c>
      <c r="CB6">
        <f>SQRT((BO6^2-CA6*AX6^2)/AW6^2)</f>
        <v>4377.829779334735</v>
      </c>
      <c r="CC6">
        <f>LN(CA6^2/SQRT(CA6^2+CB6^2))</f>
        <v>9.469259283245648</v>
      </c>
      <c r="CD6">
        <f>SQRT(LN(CB6^2/CA6^2+1))</f>
        <v>0.3137982866943335</v>
      </c>
      <c r="CE6">
        <f>ROUND(BR6/AT6,0)</f>
        <v>1740</v>
      </c>
      <c r="CF6">
        <f>ROUND(EXP(CC6+NORMSINV(0.05)*CD6),0)</f>
        <v>7732</v>
      </c>
      <c r="CG6">
        <f>ROUND(EXP(CC6+NORMSINV(0.25)*CD6),0)</f>
        <v>10484</v>
      </c>
      <c r="CH6">
        <f>ROUND(EXP(CC6),0)</f>
        <v>12955</v>
      </c>
      <c r="CI6">
        <f>ROUND(EXP(CC6+NORMSINV(0.75)*CD6),0)</f>
        <v>16009</v>
      </c>
      <c r="CJ6">
        <f>ROUND(EXP(CC6+NORMSINV(0.95)*CD6),0)</f>
        <v>21707</v>
      </c>
      <c r="CK6">
        <f>ROUND(BX6/AR6,0)</f>
        <v>73173</v>
      </c>
    </row>
  </sheetData>
  <sheetProtection/>
  <mergeCells count="11">
    <mergeCell ref="BA3:BK3"/>
    <mergeCell ref="BN3:BX3"/>
    <mergeCell ref="CA3:CK3"/>
    <mergeCell ref="Z3:AF3"/>
    <mergeCell ref="AR3:AX3"/>
    <mergeCell ref="C3:E3"/>
    <mergeCell ref="F3:H3"/>
    <mergeCell ref="Q3:W3"/>
    <mergeCell ref="I3:K3"/>
    <mergeCell ref="F2:H2"/>
    <mergeCell ref="AI3:AO3"/>
  </mergeCells>
  <printOptions gridLines="1" horizontalCentered="1"/>
  <pageMargins left="0.75" right="0.75" top="1" bottom="1" header="0.5" footer="0.5"/>
  <pageSetup horizontalDpi="600" verticalDpi="600" orientation="portrait" scale="90" r:id="rId1"/>
  <headerFooter alignWithMargins="0">
    <oddHeader>&amp;CACCESS</oddHeader>
  </headerFooter>
  <colBreaks count="6" manualBreakCount="6">
    <brk id="14" max="65535" man="1"/>
    <brk id="23" max="65535" man="1"/>
    <brk id="32" max="65535" man="1"/>
    <brk id="41" max="65535" man="1"/>
    <brk id="50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Charpentier, Ronald R.</cp:lastModifiedBy>
  <cp:lastPrinted>2000-10-04T20:54:59Z</cp:lastPrinted>
  <dcterms:created xsi:type="dcterms:W3CDTF">1997-07-02T20:50:16Z</dcterms:created>
  <dcterms:modified xsi:type="dcterms:W3CDTF">2011-12-29T22:44:47Z</dcterms:modified>
  <cp:category/>
  <cp:version/>
  <cp:contentType/>
  <cp:contentStatus/>
</cp:coreProperties>
</file>